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JENNYFER " sheetId="2" r:id="rId1"/>
  </sheets>
  <definedNames>
    <definedName name="_xlnm._FilterDatabase" localSheetId="0" hidden="1">'JENNYFER '!$B$2:$Q$57</definedName>
    <definedName name="_xlnm.Print_Titles" localSheetId="0">'JENNYFER 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" i="2" l="1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1" i="2"/>
  <c r="S4" i="2"/>
  <c r="N57" i="2"/>
  <c r="M57" i="2"/>
  <c r="L57" i="2"/>
  <c r="K57" i="2"/>
  <c r="J57" i="2"/>
  <c r="P51" i="2"/>
  <c r="N55" i="2"/>
  <c r="M55" i="2"/>
  <c r="L55" i="2"/>
  <c r="K55" i="2"/>
  <c r="J55" i="2"/>
  <c r="M53" i="2"/>
  <c r="L53" i="2"/>
  <c r="K53" i="2"/>
  <c r="J53" i="2"/>
  <c r="I53" i="2"/>
  <c r="L49" i="2"/>
  <c r="K49" i="2"/>
  <c r="J49" i="2"/>
  <c r="N48" i="2"/>
  <c r="M48" i="2"/>
  <c r="L48" i="2"/>
  <c r="K48" i="2"/>
  <c r="J48" i="2"/>
  <c r="N47" i="2"/>
  <c r="M47" i="2"/>
  <c r="L47" i="2"/>
  <c r="K47" i="2"/>
  <c r="J47" i="2"/>
  <c r="N46" i="2"/>
  <c r="M46" i="2"/>
  <c r="L46" i="2"/>
  <c r="K46" i="2"/>
  <c r="J46" i="2"/>
  <c r="O56" i="2"/>
  <c r="N56" i="2"/>
  <c r="M56" i="2"/>
  <c r="L56" i="2"/>
  <c r="K56" i="2"/>
  <c r="J56" i="2"/>
  <c r="I56" i="2"/>
  <c r="H56" i="2"/>
  <c r="O54" i="2"/>
  <c r="N54" i="2"/>
  <c r="M54" i="2"/>
  <c r="L54" i="2"/>
  <c r="K54" i="2"/>
  <c r="J54" i="2"/>
  <c r="I54" i="2"/>
  <c r="N52" i="2"/>
  <c r="M52" i="2"/>
  <c r="L52" i="2"/>
  <c r="K52" i="2"/>
  <c r="J52" i="2"/>
  <c r="I52" i="2"/>
  <c r="O50" i="2"/>
  <c r="N50" i="2"/>
  <c r="M50" i="2"/>
  <c r="L50" i="2"/>
  <c r="K50" i="2"/>
  <c r="J50" i="2"/>
  <c r="I50" i="2"/>
  <c r="H50" i="2"/>
  <c r="M45" i="2"/>
  <c r="L45" i="2"/>
  <c r="K45" i="2"/>
  <c r="M44" i="2"/>
  <c r="L44" i="2"/>
  <c r="K44" i="2"/>
  <c r="M43" i="2"/>
  <c r="L43" i="2"/>
  <c r="K43" i="2"/>
  <c r="J43" i="2"/>
  <c r="M42" i="2"/>
  <c r="L42" i="2"/>
  <c r="K42" i="2"/>
  <c r="J42" i="2"/>
  <c r="N41" i="2"/>
  <c r="M41" i="2"/>
  <c r="L41" i="2"/>
  <c r="K41" i="2"/>
  <c r="J41" i="2"/>
  <c r="N40" i="2"/>
  <c r="M40" i="2"/>
  <c r="L40" i="2"/>
  <c r="K40" i="2"/>
  <c r="J40" i="2"/>
  <c r="O39" i="2"/>
  <c r="N39" i="2"/>
  <c r="M39" i="2"/>
  <c r="L39" i="2"/>
  <c r="K39" i="2"/>
  <c r="J39" i="2"/>
  <c r="I39" i="2"/>
  <c r="O38" i="2"/>
  <c r="N38" i="2"/>
  <c r="M38" i="2"/>
  <c r="L38" i="2"/>
  <c r="K38" i="2"/>
  <c r="J38" i="2"/>
  <c r="I38" i="2"/>
  <c r="L37" i="2"/>
  <c r="K37" i="2"/>
  <c r="J37" i="2"/>
  <c r="L36" i="2"/>
  <c r="K36" i="2"/>
  <c r="J36" i="2"/>
  <c r="M35" i="2"/>
  <c r="L35" i="2"/>
  <c r="K35" i="2"/>
  <c r="J35" i="2"/>
  <c r="N29" i="2"/>
  <c r="M29" i="2"/>
  <c r="L29" i="2"/>
  <c r="K29" i="2"/>
  <c r="J29" i="2"/>
  <c r="N28" i="2"/>
  <c r="M28" i="2"/>
  <c r="L28" i="2"/>
  <c r="K28" i="2"/>
  <c r="J28" i="2"/>
  <c r="M27" i="2"/>
  <c r="L27" i="2"/>
  <c r="K27" i="2"/>
  <c r="M26" i="2"/>
  <c r="L26" i="2"/>
  <c r="K26" i="2"/>
  <c r="M25" i="2"/>
  <c r="L25" i="2"/>
  <c r="K25" i="2"/>
  <c r="M24" i="2"/>
  <c r="L24" i="2"/>
  <c r="K24" i="2"/>
  <c r="M22" i="2"/>
  <c r="L22" i="2"/>
  <c r="K22" i="2"/>
  <c r="J22" i="2"/>
  <c r="M23" i="2"/>
  <c r="L23" i="2"/>
  <c r="K23" i="2"/>
  <c r="J23" i="2"/>
  <c r="M19" i="2"/>
  <c r="L19" i="2"/>
  <c r="K19" i="2"/>
  <c r="M18" i="2"/>
  <c r="L18" i="2"/>
  <c r="K18" i="2"/>
  <c r="L21" i="2"/>
  <c r="K21" i="2"/>
  <c r="M20" i="2"/>
  <c r="L20" i="2"/>
  <c r="K20" i="2"/>
  <c r="M17" i="2"/>
  <c r="L17" i="2"/>
  <c r="M16" i="2"/>
  <c r="L16" i="2"/>
  <c r="K16" i="2"/>
  <c r="J13" i="2"/>
  <c r="K12" i="2"/>
  <c r="J12" i="2"/>
  <c r="I12" i="2"/>
  <c r="L9" i="2"/>
  <c r="L8" i="2"/>
  <c r="K8" i="2"/>
  <c r="J8" i="2"/>
  <c r="I8" i="2"/>
  <c r="L7" i="2"/>
  <c r="K7" i="2"/>
  <c r="J7" i="2"/>
  <c r="I7" i="2"/>
  <c r="K6" i="2"/>
  <c r="J6" i="2"/>
  <c r="I6" i="2"/>
  <c r="K5" i="2"/>
  <c r="J5" i="2"/>
  <c r="I5" i="2"/>
  <c r="H5" i="2"/>
  <c r="M4" i="2"/>
  <c r="P53" i="2" l="1"/>
  <c r="S53" i="2" s="1"/>
  <c r="P50" i="2"/>
  <c r="P52" i="2"/>
  <c r="S52" i="2" s="1"/>
  <c r="P56" i="2"/>
  <c r="S56" i="2" s="1"/>
  <c r="P55" i="2"/>
  <c r="S55" i="2" s="1"/>
  <c r="P54" i="2"/>
  <c r="S54" i="2" s="1"/>
  <c r="P57" i="2"/>
  <c r="S57" i="2" s="1"/>
  <c r="P58" i="2" l="1"/>
  <c r="S50" i="2"/>
  <c r="S58" i="2" s="1"/>
  <c r="Q58" i="2" l="1"/>
</calcChain>
</file>

<file path=xl/sharedStrings.xml><?xml version="1.0" encoding="utf-8"?>
<sst xmlns="http://schemas.openxmlformats.org/spreadsheetml/2006/main" count="321" uniqueCount="78">
  <si>
    <t>XXS</t>
  </si>
  <si>
    <t>XS</t>
  </si>
  <si>
    <t>S</t>
  </si>
  <si>
    <t>M</t>
  </si>
  <si>
    <t>L</t>
  </si>
  <si>
    <t>XL</t>
  </si>
  <si>
    <t>33JEDA</t>
  </si>
  <si>
    <t>76# GIRS CHINE</t>
  </si>
  <si>
    <t>60%cotton 40%polyester brushed fleece 240gsm</t>
  </si>
  <si>
    <t>53#LAVANDE 14-3209TCX</t>
  </si>
  <si>
    <t>70#VIOLET FONCE 18-3949TCX</t>
  </si>
  <si>
    <t>33OROZIP</t>
  </si>
  <si>
    <t>255# BLANC</t>
  </si>
  <si>
    <t>43MAYA</t>
  </si>
  <si>
    <t>16#CIEL 14-4112TCX</t>
  </si>
  <si>
    <t>61%COTTON 39%POLYESTER</t>
  </si>
  <si>
    <t>/</t>
  </si>
  <si>
    <t>82# 11-0104TCX</t>
  </si>
  <si>
    <t>53TOPLIN</t>
  </si>
  <si>
    <t>52# LAVANDE</t>
  </si>
  <si>
    <t>90%cotton 10%linen</t>
  </si>
  <si>
    <t>7#BLANC CASSE</t>
  </si>
  <si>
    <t>53BROSHTOP</t>
  </si>
  <si>
    <t>100%COTTON Embroidered fabric</t>
  </si>
  <si>
    <t>16# BLUE CIEL</t>
  </si>
  <si>
    <t>88#MALABAR</t>
  </si>
  <si>
    <t>63JUPANBROD</t>
  </si>
  <si>
    <t>73DANCING</t>
  </si>
  <si>
    <t>13SICHY</t>
  </si>
  <si>
    <t>60# NOIR</t>
  </si>
  <si>
    <t>68%cotton 28%polyamide 4%elastane</t>
  </si>
  <si>
    <t>5# ROUGE VIF</t>
  </si>
  <si>
    <t>75%cotton 22%polyamide 3%elastane</t>
  </si>
  <si>
    <t>63GAMBROD</t>
  </si>
  <si>
    <t>13PROVIN</t>
  </si>
  <si>
    <t>26# BEIGE KAKI</t>
  </si>
  <si>
    <t>100% lyocell</t>
  </si>
  <si>
    <t>75#KAKI FONCE</t>
  </si>
  <si>
    <t>33DILACE</t>
  </si>
  <si>
    <t>60# BLACK</t>
  </si>
  <si>
    <t xml:space="preserve">100%polyester </t>
  </si>
  <si>
    <t>33SKATER</t>
  </si>
  <si>
    <t>12DADILLEY</t>
  </si>
  <si>
    <t>13# BLUE JEAN</t>
  </si>
  <si>
    <t>86%COTTON,8%POLYESTER,6%VISCOSE.</t>
  </si>
  <si>
    <t>12DADILLF</t>
  </si>
  <si>
    <t>13SAYURE</t>
  </si>
  <si>
    <t>100%cotton</t>
  </si>
  <si>
    <t>13PAYURE</t>
  </si>
  <si>
    <t>13PBOXER</t>
  </si>
  <si>
    <t>13SRAIGA</t>
  </si>
  <si>
    <t>59%COTTON 32%POLYESTER 5%VISCOSE     2%LYOCELL  2%ELASTANE 10*16/70D+40D 84*55 11.8OZ AW 63"</t>
  </si>
  <si>
    <t>13SRAIGEE</t>
  </si>
  <si>
    <t>54%COTTON 39%POLYESTER 4%VISCOSE  2%LYOCELL   1%ELASTANE 10*16/70D+40D 84*55 11.8OZ AW 63"</t>
  </si>
  <si>
    <t>13SRAIGII</t>
  </si>
  <si>
    <t>56# GRIS MOYEN</t>
  </si>
  <si>
    <t>13SRAIGD</t>
  </si>
  <si>
    <t>15# BLUE</t>
  </si>
  <si>
    <t>13PONGO</t>
  </si>
  <si>
    <t>63DOLAND</t>
  </si>
  <si>
    <t>DENIM FABRIC  80%COTTON 18%POLYESTE 2%VISCOSE 10*7 11.5OZ 180CM AR1753</t>
  </si>
  <si>
    <t>33OROCN</t>
  </si>
  <si>
    <t>33SHORKET</t>
  </si>
  <si>
    <t>76%Polyamide 24%Elastane</t>
  </si>
  <si>
    <t>12# CREME</t>
  </si>
  <si>
    <t>PO NO.</t>
    <phoneticPr fontId="1" type="noConversion"/>
  </si>
  <si>
    <t>Color</t>
    <phoneticPr fontId="1" type="noConversion"/>
  </si>
  <si>
    <t>TOTAL PVI</t>
  </si>
  <si>
    <t xml:space="preserve">PHOTOS </t>
  </si>
  <si>
    <t>A</t>
  </si>
  <si>
    <t>B</t>
  </si>
  <si>
    <t xml:space="preserve">QTY </t>
  </si>
  <si>
    <t>RETAIL</t>
  </si>
  <si>
    <t xml:space="preserve">TOTAL </t>
  </si>
  <si>
    <t>COMPO</t>
  </si>
  <si>
    <t>REF</t>
  </si>
  <si>
    <t xml:space="preserve">TOTAL  JENNYFER </t>
  </si>
  <si>
    <t xml:space="preserve">JENNYFER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</si>
</sst>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#,##0_ ;\-#,##0\ "/>
  </numFmts>
  <fonts count="11">
    <font>
      <sz val="11"/>
      <color theme="1"/>
      <name val="Calibri"/>
      <charset val="134"/>
      <scheme val="minor"/>
    </font>
    <font>
      <sz val="9"/>
      <name val="Calibri"/>
      <family val="3"/>
      <charset val="134"/>
      <scheme val="minor"/>
    </font>
    <font>
      <sz val="11"/>
      <color theme="1"/>
      <name val="Calibri"/>
      <charset val="134"/>
      <scheme val="minor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4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b/>
      <sz val="16"/>
      <color theme="0"/>
      <name val="Times New Roman"/>
      <family val="1"/>
    </font>
    <font>
      <b/>
      <sz val="20"/>
      <color theme="0"/>
      <name val="Times New Roman"/>
      <family val="1"/>
    </font>
    <font>
      <b/>
      <sz val="48"/>
      <color theme="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249977111117893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79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4" fontId="7" fillId="0" borderId="1" xfId="2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4" fontId="7" fillId="0" borderId="3" xfId="2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165" fontId="5" fillId="0" borderId="0" xfId="1" applyNumberFormat="1" applyFont="1" applyAlignment="1">
      <alignment horizontal="center" vertical="center" wrapText="1"/>
    </xf>
    <xf numFmtId="44" fontId="8" fillId="4" borderId="8" xfId="2" applyFont="1" applyFill="1" applyBorder="1" applyAlignment="1">
      <alignment horizontal="center" vertical="center" wrapText="1"/>
    </xf>
    <xf numFmtId="44" fontId="8" fillId="4" borderId="11" xfId="2" applyFont="1" applyFill="1" applyBorder="1" applyAlignment="1">
      <alignment horizontal="center" vertical="center" wrapText="1"/>
    </xf>
    <xf numFmtId="44" fontId="7" fillId="0" borderId="0" xfId="2" applyFont="1" applyAlignment="1">
      <alignment horizontal="center" vertical="center"/>
    </xf>
    <xf numFmtId="44" fontId="7" fillId="0" borderId="0" xfId="2" applyFont="1" applyAlignment="1">
      <alignment horizontal="center" vertical="center" wrapText="1"/>
    </xf>
    <xf numFmtId="44" fontId="7" fillId="0" borderId="1" xfId="2" applyFont="1" applyBorder="1" applyAlignment="1">
      <alignment vertical="center"/>
    </xf>
    <xf numFmtId="44" fontId="7" fillId="0" borderId="1" xfId="2" applyFont="1" applyBorder="1" applyAlignment="1">
      <alignment vertical="center" wrapText="1"/>
    </xf>
    <xf numFmtId="44" fontId="7" fillId="0" borderId="2" xfId="2" applyFont="1" applyBorder="1" applyAlignment="1">
      <alignment horizontal="center" vertical="center" wrapText="1"/>
    </xf>
    <xf numFmtId="44" fontId="8" fillId="4" borderId="19" xfId="2" applyFont="1" applyFill="1" applyBorder="1" applyAlignment="1">
      <alignment horizontal="center" vertical="center"/>
    </xf>
    <xf numFmtId="44" fontId="8" fillId="4" borderId="20" xfId="2" applyFont="1" applyFill="1" applyBorder="1" applyAlignment="1">
      <alignment horizontal="center" vertical="center" wrapText="1"/>
    </xf>
    <xf numFmtId="44" fontId="8" fillId="4" borderId="21" xfId="2" applyFont="1" applyFill="1" applyBorder="1" applyAlignment="1">
      <alignment horizontal="center" vertical="center"/>
    </xf>
    <xf numFmtId="165" fontId="9" fillId="3" borderId="5" xfId="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22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65" fontId="5" fillId="0" borderId="30" xfId="1" applyNumberFormat="1" applyFont="1" applyBorder="1" applyAlignment="1">
      <alignment horizontal="center" vertical="center" wrapText="1"/>
    </xf>
    <xf numFmtId="165" fontId="5" fillId="0" borderId="31" xfId="1" applyNumberFormat="1" applyFont="1" applyBorder="1" applyAlignment="1">
      <alignment horizontal="center" vertical="center" wrapText="1"/>
    </xf>
    <xf numFmtId="165" fontId="5" fillId="0" borderId="32" xfId="1" applyNumberFormat="1" applyFont="1" applyBorder="1" applyAlignment="1">
      <alignment horizontal="center" vertical="center" wrapText="1"/>
    </xf>
    <xf numFmtId="44" fontId="7" fillId="0" borderId="34" xfId="2" applyFont="1" applyBorder="1" applyAlignment="1">
      <alignment horizontal="center" vertical="center"/>
    </xf>
    <xf numFmtId="44" fontId="7" fillId="0" borderId="35" xfId="2" applyFont="1" applyBorder="1" applyAlignment="1">
      <alignment horizontal="center" vertical="center"/>
    </xf>
    <xf numFmtId="44" fontId="7" fillId="0" borderId="36" xfId="2" applyFont="1" applyBorder="1" applyAlignment="1">
      <alignment horizontal="center" vertical="center"/>
    </xf>
    <xf numFmtId="44" fontId="7" fillId="0" borderId="37" xfId="2" applyFont="1" applyBorder="1" applyAlignment="1">
      <alignment horizontal="center" vertical="center"/>
    </xf>
    <xf numFmtId="44" fontId="7" fillId="0" borderId="38" xfId="2" applyFont="1" applyBorder="1" applyAlignment="1">
      <alignment horizontal="center" vertical="center"/>
    </xf>
    <xf numFmtId="165" fontId="8" fillId="3" borderId="17" xfId="1" applyNumberFormat="1" applyFont="1" applyFill="1" applyBorder="1" applyAlignment="1">
      <alignment horizontal="center" vertical="center" wrapText="1"/>
    </xf>
    <xf numFmtId="165" fontId="8" fillId="3" borderId="18" xfId="1" applyNumberFormat="1" applyFont="1" applyFill="1" applyBorder="1" applyAlignment="1">
      <alignment horizontal="center" vertical="center" wrapText="1"/>
    </xf>
    <xf numFmtId="44" fontId="8" fillId="4" borderId="7" xfId="2" applyFont="1" applyFill="1" applyBorder="1" applyAlignment="1">
      <alignment horizontal="center" vertical="center"/>
    </xf>
    <xf numFmtId="44" fontId="8" fillId="4" borderId="10" xfId="2" applyFont="1" applyFill="1" applyBorder="1" applyAlignment="1">
      <alignment horizontal="center" vertical="center"/>
    </xf>
    <xf numFmtId="44" fontId="8" fillId="4" borderId="9" xfId="2" applyFont="1" applyFill="1" applyBorder="1" applyAlignment="1">
      <alignment horizontal="center" vertical="center"/>
    </xf>
    <xf numFmtId="44" fontId="8" fillId="4" borderId="12" xfId="2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10" fillId="5" borderId="23" xfId="0" applyFont="1" applyFill="1" applyBorder="1" applyAlignment="1">
      <alignment horizontal="center" vertical="center"/>
    </xf>
    <xf numFmtId="0" fontId="10" fillId="5" borderId="24" xfId="0" applyFont="1" applyFill="1" applyBorder="1" applyAlignment="1">
      <alignment horizontal="center" vertical="center"/>
    </xf>
    <xf numFmtId="0" fontId="10" fillId="5" borderId="2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jpeg"/><Relationship Id="rId21" Type="http://schemas.openxmlformats.org/officeDocument/2006/relationships/image" Target="../media/image21.png"/><Relationship Id="rId34" Type="http://schemas.openxmlformats.org/officeDocument/2006/relationships/image" Target="../media/image34.jpeg"/><Relationship Id="rId42" Type="http://schemas.openxmlformats.org/officeDocument/2006/relationships/image" Target="../media/image42.pn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jpe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png"/><Relationship Id="rId79" Type="http://schemas.openxmlformats.org/officeDocument/2006/relationships/image" Target="../media/image79.jpeg"/><Relationship Id="rId5" Type="http://schemas.openxmlformats.org/officeDocument/2006/relationships/image" Target="../media/image5.pn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png"/><Relationship Id="rId8" Type="http://schemas.openxmlformats.org/officeDocument/2006/relationships/image" Target="../media/image8.png"/><Relationship Id="rId51" Type="http://schemas.openxmlformats.org/officeDocument/2006/relationships/image" Target="../media/image51.jpeg"/><Relationship Id="rId72" Type="http://schemas.openxmlformats.org/officeDocument/2006/relationships/image" Target="../media/image72.png"/><Relationship Id="rId80" Type="http://schemas.openxmlformats.org/officeDocument/2006/relationships/image" Target="../media/image80.jpe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345284</xdr:colOff>
      <xdr:row>48</xdr:row>
      <xdr:rowOff>77047</xdr:rowOff>
    </xdr:from>
    <xdr:to>
      <xdr:col>1</xdr:col>
      <xdr:colOff>1341754</xdr:colOff>
      <xdr:row>48</xdr:row>
      <xdr:rowOff>1420284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4805" y="63609855"/>
          <a:ext cx="999490" cy="134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1314450</xdr:colOff>
      <xdr:row>48</xdr:row>
      <xdr:rowOff>85514</xdr:rowOff>
    </xdr:from>
    <xdr:to>
      <xdr:col>1</xdr:col>
      <xdr:colOff>2323042</xdr:colOff>
      <xdr:row>48</xdr:row>
      <xdr:rowOff>1416445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4450" y="63618110"/>
          <a:ext cx="1008380" cy="1327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169967</xdr:colOff>
      <xdr:row>52</xdr:row>
      <xdr:rowOff>70484</xdr:rowOff>
    </xdr:from>
    <xdr:to>
      <xdr:col>1</xdr:col>
      <xdr:colOff>1371876</xdr:colOff>
      <xdr:row>52</xdr:row>
      <xdr:rowOff>1209674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9545" y="65064005"/>
          <a:ext cx="1202055" cy="1136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1329055</xdr:colOff>
      <xdr:row>52</xdr:row>
      <xdr:rowOff>85090</xdr:rowOff>
    </xdr:from>
    <xdr:to>
      <xdr:col>1</xdr:col>
      <xdr:colOff>2505075</xdr:colOff>
      <xdr:row>52</xdr:row>
      <xdr:rowOff>1201477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9055" y="65079245"/>
          <a:ext cx="1179195" cy="1116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175047</xdr:colOff>
      <xdr:row>56</xdr:row>
      <xdr:rowOff>121285</xdr:rowOff>
    </xdr:from>
    <xdr:to>
      <xdr:col>1</xdr:col>
      <xdr:colOff>1418663</xdr:colOff>
      <xdr:row>56</xdr:row>
      <xdr:rowOff>1097491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4625" y="68927345"/>
          <a:ext cx="1240790" cy="979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1384723</xdr:colOff>
      <xdr:row>56</xdr:row>
      <xdr:rowOff>127213</xdr:rowOff>
    </xdr:from>
    <xdr:to>
      <xdr:col>1</xdr:col>
      <xdr:colOff>2534708</xdr:colOff>
      <xdr:row>56</xdr:row>
      <xdr:rowOff>1102526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84300" y="68933060"/>
          <a:ext cx="1149985" cy="975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1351492</xdr:colOff>
      <xdr:row>50</xdr:row>
      <xdr:rowOff>83608</xdr:rowOff>
    </xdr:from>
    <xdr:to>
      <xdr:col>1</xdr:col>
      <xdr:colOff>2560955</xdr:colOff>
      <xdr:row>50</xdr:row>
      <xdr:rowOff>1068916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1280" y="67618610"/>
          <a:ext cx="1206500" cy="985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175895</xdr:colOff>
      <xdr:row>50</xdr:row>
      <xdr:rowOff>92075</xdr:rowOff>
    </xdr:from>
    <xdr:to>
      <xdr:col>1</xdr:col>
      <xdr:colOff>1381125</xdr:colOff>
      <xdr:row>50</xdr:row>
      <xdr:rowOff>1074420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895" y="67627500"/>
          <a:ext cx="1202055" cy="979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265219</xdr:colOff>
      <xdr:row>54</xdr:row>
      <xdr:rowOff>69459</xdr:rowOff>
    </xdr:from>
    <xdr:to>
      <xdr:col>1</xdr:col>
      <xdr:colOff>1419649</xdr:colOff>
      <xdr:row>54</xdr:row>
      <xdr:rowOff>1117209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5219" y="71089325"/>
          <a:ext cx="1151255" cy="1050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1403397</xdr:colOff>
      <xdr:row>54</xdr:row>
      <xdr:rowOff>63564</xdr:rowOff>
    </xdr:from>
    <xdr:to>
      <xdr:col>1</xdr:col>
      <xdr:colOff>2561409</xdr:colOff>
      <xdr:row>54</xdr:row>
      <xdr:rowOff>1131520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3397" y="71083430"/>
          <a:ext cx="1161187" cy="1064781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237278</xdr:colOff>
      <xdr:row>51</xdr:row>
      <xdr:rowOff>33654</xdr:rowOff>
    </xdr:from>
    <xdr:to>
      <xdr:col>1</xdr:col>
      <xdr:colOff>1465792</xdr:colOff>
      <xdr:row>51</xdr:row>
      <xdr:rowOff>1191640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6855" y="55614570"/>
          <a:ext cx="1228725" cy="1161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1440604</xdr:colOff>
      <xdr:row>51</xdr:row>
      <xdr:rowOff>31750</xdr:rowOff>
    </xdr:from>
    <xdr:to>
      <xdr:col>1</xdr:col>
      <xdr:colOff>2476500</xdr:colOff>
      <xdr:row>51</xdr:row>
      <xdr:rowOff>1191472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40180" y="55613300"/>
          <a:ext cx="1036320" cy="1162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195579</xdr:colOff>
      <xdr:row>55</xdr:row>
      <xdr:rowOff>152399</xdr:rowOff>
    </xdr:from>
    <xdr:to>
      <xdr:col>1</xdr:col>
      <xdr:colOff>1450231</xdr:colOff>
      <xdr:row>55</xdr:row>
      <xdr:rowOff>1143000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4945" y="58247915"/>
          <a:ext cx="1254760" cy="991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1448858</xdr:colOff>
      <xdr:row>55</xdr:row>
      <xdr:rowOff>152401</xdr:rowOff>
    </xdr:from>
    <xdr:to>
      <xdr:col>1</xdr:col>
      <xdr:colOff>2560955</xdr:colOff>
      <xdr:row>55</xdr:row>
      <xdr:rowOff>1134534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48435" y="58248550"/>
          <a:ext cx="1109345" cy="984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1378162</xdr:colOff>
      <xdr:row>49</xdr:row>
      <xdr:rowOff>133137</xdr:rowOff>
    </xdr:from>
    <xdr:to>
      <xdr:col>1</xdr:col>
      <xdr:colOff>2560955</xdr:colOff>
      <xdr:row>49</xdr:row>
      <xdr:rowOff>1105958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77950" y="54456965"/>
          <a:ext cx="1179830" cy="972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196427</xdr:colOff>
      <xdr:row>49</xdr:row>
      <xdr:rowOff>133139</xdr:rowOff>
    </xdr:from>
    <xdr:to>
      <xdr:col>1</xdr:col>
      <xdr:colOff>1401657</xdr:colOff>
      <xdr:row>49</xdr:row>
      <xdr:rowOff>1115484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6215" y="54456965"/>
          <a:ext cx="1202055" cy="979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200237</xdr:colOff>
      <xdr:row>53</xdr:row>
      <xdr:rowOff>72814</xdr:rowOff>
    </xdr:from>
    <xdr:to>
      <xdr:col>1</xdr:col>
      <xdr:colOff>1351492</xdr:colOff>
      <xdr:row>53</xdr:row>
      <xdr:rowOff>1123739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0025" y="56911240"/>
          <a:ext cx="1151255" cy="1050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1314661</xdr:colOff>
      <xdr:row>53</xdr:row>
      <xdr:rowOff>78950</xdr:rowOff>
    </xdr:from>
    <xdr:to>
      <xdr:col>1</xdr:col>
      <xdr:colOff>2560955</xdr:colOff>
      <xdr:row>53</xdr:row>
      <xdr:rowOff>1113366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4450" y="56917590"/>
          <a:ext cx="1243330" cy="1037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916091</xdr:colOff>
      <xdr:row>11</xdr:row>
      <xdr:rowOff>75776</xdr:rowOff>
    </xdr:from>
    <xdr:to>
      <xdr:col>1</xdr:col>
      <xdr:colOff>2236257</xdr:colOff>
      <xdr:row>13</xdr:row>
      <xdr:rowOff>69849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916091" y="10362776"/>
          <a:ext cx="1316991" cy="2108623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1409382</xdr:colOff>
      <xdr:row>13</xdr:row>
      <xdr:rowOff>179705</xdr:rowOff>
    </xdr:from>
    <xdr:to>
      <xdr:col>1</xdr:col>
      <xdr:colOff>2397737</xdr:colOff>
      <xdr:row>14</xdr:row>
      <xdr:rowOff>712259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9382" y="12578080"/>
          <a:ext cx="988355" cy="1585067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480695</xdr:colOff>
      <xdr:row>13</xdr:row>
      <xdr:rowOff>176530</xdr:rowOff>
    </xdr:from>
    <xdr:to>
      <xdr:col>1</xdr:col>
      <xdr:colOff>1389380</xdr:colOff>
      <xdr:row>14</xdr:row>
      <xdr:rowOff>713242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0695" y="12574905"/>
          <a:ext cx="908685" cy="1595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684318</xdr:colOff>
      <xdr:row>34</xdr:row>
      <xdr:rowOff>38312</xdr:rowOff>
    </xdr:from>
    <xdr:to>
      <xdr:col>1</xdr:col>
      <xdr:colOff>2273524</xdr:colOff>
      <xdr:row>34</xdr:row>
      <xdr:rowOff>1333500</xdr:rowOff>
    </xdr:to>
    <xdr:pic>
      <xdr:nvPicPr>
        <xdr:cNvPr id="27" name="图片 26" descr="/Users/han/Library/Containers/com.kingsoft.wpsoffice.mac/Data/tmp/picturecompress_20250429132928/output_1.pngoutput_1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683895" y="37191950"/>
          <a:ext cx="1586230" cy="129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299825</xdr:colOff>
      <xdr:row>7</xdr:row>
      <xdr:rowOff>77154</xdr:rowOff>
    </xdr:from>
    <xdr:to>
      <xdr:col>1</xdr:col>
      <xdr:colOff>1340590</xdr:colOff>
      <xdr:row>7</xdr:row>
      <xdr:rowOff>1514370</xdr:rowOff>
    </xdr:to>
    <xdr:pic>
      <xdr:nvPicPr>
        <xdr:cNvPr id="28" name="图片 27" descr="/Users/han/Library/Containers/com.kingsoft.wpsoffice.mac/Data/tmp/picturecompress_20250429132933/output_3.pngoutput_3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825" y="7109779"/>
          <a:ext cx="1043940" cy="1440391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1463463</xdr:colOff>
      <xdr:row>7</xdr:row>
      <xdr:rowOff>103611</xdr:rowOff>
    </xdr:from>
    <xdr:to>
      <xdr:col>1</xdr:col>
      <xdr:colOff>2506768</xdr:colOff>
      <xdr:row>7</xdr:row>
      <xdr:rowOff>1544002</xdr:rowOff>
    </xdr:to>
    <xdr:pic>
      <xdr:nvPicPr>
        <xdr:cNvPr id="29" name="图片 28" descr="/Users/han/Library/Containers/com.kingsoft.wpsoffice.mac/Data/tmp/picturecompress_20250429132933/output_4.pngoutput_4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63463" y="7136236"/>
          <a:ext cx="1040130" cy="1440391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507789</xdr:colOff>
      <xdr:row>35</xdr:row>
      <xdr:rowOff>116416</xdr:rowOff>
    </xdr:from>
    <xdr:to>
      <xdr:col>1</xdr:col>
      <xdr:colOff>1478492</xdr:colOff>
      <xdr:row>35</xdr:row>
      <xdr:rowOff>1384299</xdr:rowOff>
    </xdr:to>
    <xdr:pic>
      <xdr:nvPicPr>
        <xdr:cNvPr id="30" name="图片 29" descr="/Users/han/Library/Containers/com.kingsoft.wpsoffice.mac/Data/tmp/picturecompress_20250429132923/output_1.pngoutput_1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7365" y="38667055"/>
          <a:ext cx="974090" cy="1264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478366</xdr:colOff>
      <xdr:row>36</xdr:row>
      <xdr:rowOff>31750</xdr:rowOff>
    </xdr:from>
    <xdr:to>
      <xdr:col>1</xdr:col>
      <xdr:colOff>1479549</xdr:colOff>
      <xdr:row>36</xdr:row>
      <xdr:rowOff>1325245</xdr:rowOff>
    </xdr:to>
    <xdr:pic>
      <xdr:nvPicPr>
        <xdr:cNvPr id="31" name="图片 30" descr="/Users/han/Library/Containers/com.kingsoft.wpsoffice.mac/Data/tmp/picturecompress_20250429132923/output_2.pngoutput_2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8155" y="40182800"/>
          <a:ext cx="997585" cy="1296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1478915</xdr:colOff>
      <xdr:row>35</xdr:row>
      <xdr:rowOff>114090</xdr:rowOff>
    </xdr:from>
    <xdr:to>
      <xdr:col>1</xdr:col>
      <xdr:colOff>2371725</xdr:colOff>
      <xdr:row>35</xdr:row>
      <xdr:rowOff>1377951</xdr:rowOff>
    </xdr:to>
    <xdr:pic>
      <xdr:nvPicPr>
        <xdr:cNvPr id="32" name="图片 31" descr="/Users/han/Library/Containers/com.kingsoft.wpsoffice.mac/Data/tmp/picturecompress_20250429132923/output_3.pngoutput_3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8915" y="38664515"/>
          <a:ext cx="895985" cy="1267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1467273</xdr:colOff>
      <xdr:row>36</xdr:row>
      <xdr:rowOff>36194</xdr:rowOff>
    </xdr:from>
    <xdr:to>
      <xdr:col>1</xdr:col>
      <xdr:colOff>2363258</xdr:colOff>
      <xdr:row>36</xdr:row>
      <xdr:rowOff>1333499</xdr:rowOff>
    </xdr:to>
    <xdr:pic>
      <xdr:nvPicPr>
        <xdr:cNvPr id="33" name="图片 32" descr="/Users/han/Library/Containers/com.kingsoft.wpsoffice.mac/Data/tmp/picturecompress_20250429132923/output_4.pngoutput_4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66850" y="40186610"/>
          <a:ext cx="895985" cy="1297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763481</xdr:colOff>
      <xdr:row>39</xdr:row>
      <xdr:rowOff>127000</xdr:rowOff>
    </xdr:from>
    <xdr:to>
      <xdr:col>1</xdr:col>
      <xdr:colOff>2103999</xdr:colOff>
      <xdr:row>39</xdr:row>
      <xdr:rowOff>1326092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3270" y="46069250"/>
          <a:ext cx="1343660" cy="1195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762847</xdr:colOff>
      <xdr:row>40</xdr:row>
      <xdr:rowOff>120228</xdr:rowOff>
    </xdr:from>
    <xdr:to>
      <xdr:col>1</xdr:col>
      <xdr:colOff>2074736</xdr:colOff>
      <xdr:row>40</xdr:row>
      <xdr:rowOff>1105960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635" y="47459265"/>
          <a:ext cx="1311910" cy="985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736389</xdr:colOff>
      <xdr:row>41</xdr:row>
      <xdr:rowOff>30480</xdr:rowOff>
    </xdr:from>
    <xdr:to>
      <xdr:col>1</xdr:col>
      <xdr:colOff>1448224</xdr:colOff>
      <xdr:row>41</xdr:row>
      <xdr:rowOff>1358900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35965" y="48766730"/>
          <a:ext cx="711835" cy="1331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1514475</xdr:colOff>
      <xdr:row>41</xdr:row>
      <xdr:rowOff>21378</xdr:rowOff>
    </xdr:from>
    <xdr:to>
      <xdr:col>1</xdr:col>
      <xdr:colOff>2256790</xdr:colOff>
      <xdr:row>41</xdr:row>
      <xdr:rowOff>1364403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14475" y="48757205"/>
          <a:ext cx="745490" cy="134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1053888</xdr:colOff>
      <xdr:row>42</xdr:row>
      <xdr:rowOff>46990</xdr:rowOff>
    </xdr:from>
    <xdr:to>
      <xdr:col>1</xdr:col>
      <xdr:colOff>1860338</xdr:colOff>
      <xdr:row>42</xdr:row>
      <xdr:rowOff>1323975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3465" y="50180240"/>
          <a:ext cx="809625" cy="1273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800100</xdr:colOff>
      <xdr:row>43</xdr:row>
      <xdr:rowOff>20532</xdr:rowOff>
    </xdr:from>
    <xdr:to>
      <xdr:col>1</xdr:col>
      <xdr:colOff>1511935</xdr:colOff>
      <xdr:row>43</xdr:row>
      <xdr:rowOff>1362287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0100" y="51550570"/>
          <a:ext cx="708660" cy="1338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1514687</xdr:colOff>
      <xdr:row>43</xdr:row>
      <xdr:rowOff>21803</xdr:rowOff>
    </xdr:from>
    <xdr:to>
      <xdr:col>1</xdr:col>
      <xdr:colOff>2203446</xdr:colOff>
      <xdr:row>43</xdr:row>
      <xdr:rowOff>1362076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14475" y="51551840"/>
          <a:ext cx="685165" cy="1343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821478</xdr:colOff>
      <xdr:row>44</xdr:row>
      <xdr:rowOff>36830</xdr:rowOff>
    </xdr:from>
    <xdr:to>
      <xdr:col>1</xdr:col>
      <xdr:colOff>1516592</xdr:colOff>
      <xdr:row>44</xdr:row>
      <xdr:rowOff>1345565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1055" y="52964080"/>
          <a:ext cx="692150" cy="1305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1509184</xdr:colOff>
      <xdr:row>44</xdr:row>
      <xdr:rowOff>37465</xdr:rowOff>
    </xdr:from>
    <xdr:to>
      <xdr:col>1</xdr:col>
      <xdr:colOff>2220383</xdr:colOff>
      <xdr:row>44</xdr:row>
      <xdr:rowOff>1340348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08760" y="52964715"/>
          <a:ext cx="708025" cy="129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724747</xdr:colOff>
      <xdr:row>27</xdr:row>
      <xdr:rowOff>33655</xdr:rowOff>
    </xdr:from>
    <xdr:to>
      <xdr:col>1</xdr:col>
      <xdr:colOff>1473200</xdr:colOff>
      <xdr:row>27</xdr:row>
      <xdr:rowOff>1380843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4535" y="34393505"/>
          <a:ext cx="751840" cy="1343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1463464</xdr:colOff>
      <xdr:row>27</xdr:row>
      <xdr:rowOff>35983</xdr:rowOff>
    </xdr:from>
    <xdr:to>
      <xdr:col>1</xdr:col>
      <xdr:colOff>2220383</xdr:colOff>
      <xdr:row>27</xdr:row>
      <xdr:rowOff>1380704</xdr:rowOff>
    </xdr:to>
    <xdr:pic>
      <xdr:nvPicPr>
        <xdr:cNvPr id="58" name="图片 57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63464" y="37645080"/>
          <a:ext cx="753744" cy="1341546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1139907</xdr:colOff>
      <xdr:row>28</xdr:row>
      <xdr:rowOff>21981</xdr:rowOff>
    </xdr:from>
    <xdr:to>
      <xdr:col>1</xdr:col>
      <xdr:colOff>1787769</xdr:colOff>
      <xdr:row>28</xdr:row>
      <xdr:rowOff>1343598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39907" y="39023193"/>
          <a:ext cx="647862" cy="1318442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768350</xdr:colOff>
      <xdr:row>29</xdr:row>
      <xdr:rowOff>27517</xdr:rowOff>
    </xdr:from>
    <xdr:to>
      <xdr:col>1</xdr:col>
      <xdr:colOff>1400810</xdr:colOff>
      <xdr:row>29</xdr:row>
      <xdr:rowOff>1363134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350" y="44572555"/>
          <a:ext cx="629285" cy="1332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1394883</xdr:colOff>
      <xdr:row>29</xdr:row>
      <xdr:rowOff>30904</xdr:rowOff>
    </xdr:from>
    <xdr:to>
      <xdr:col>1</xdr:col>
      <xdr:colOff>2045758</xdr:colOff>
      <xdr:row>29</xdr:row>
      <xdr:rowOff>1363135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94460" y="44575730"/>
          <a:ext cx="654050" cy="1329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390807</xdr:colOff>
      <xdr:row>8</xdr:row>
      <xdr:rowOff>102578</xdr:rowOff>
    </xdr:from>
    <xdr:to>
      <xdr:col>1</xdr:col>
      <xdr:colOff>1392114</xdr:colOff>
      <xdr:row>8</xdr:row>
      <xdr:rowOff>1524000</xdr:rowOff>
    </xdr:to>
    <xdr:pic>
      <xdr:nvPicPr>
        <xdr:cNvPr id="63" name="图片 62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/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0807" y="8763001"/>
          <a:ext cx="1001307" cy="1421422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1511984</xdr:colOff>
      <xdr:row>8</xdr:row>
      <xdr:rowOff>117232</xdr:rowOff>
    </xdr:from>
    <xdr:to>
      <xdr:col>1</xdr:col>
      <xdr:colOff>2465021</xdr:colOff>
      <xdr:row>8</xdr:row>
      <xdr:rowOff>1512521</xdr:rowOff>
    </xdr:to>
    <xdr:pic>
      <xdr:nvPicPr>
        <xdr:cNvPr id="64" name="图片 63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/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11984" y="8777655"/>
          <a:ext cx="949862" cy="1392114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1315509</xdr:colOff>
      <xdr:row>46</xdr:row>
      <xdr:rowOff>45930</xdr:rowOff>
    </xdr:from>
    <xdr:to>
      <xdr:col>1</xdr:col>
      <xdr:colOff>2082800</xdr:colOff>
      <xdr:row>46</xdr:row>
      <xdr:rowOff>1392645</xdr:rowOff>
    </xdr:to>
    <xdr:pic>
      <xdr:nvPicPr>
        <xdr:cNvPr id="67" name="图片 66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5085" y="60656470"/>
          <a:ext cx="764540" cy="134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657649</xdr:colOff>
      <xdr:row>46</xdr:row>
      <xdr:rowOff>48683</xdr:rowOff>
    </xdr:from>
    <xdr:to>
      <xdr:col>1</xdr:col>
      <xdr:colOff>1321224</xdr:colOff>
      <xdr:row>46</xdr:row>
      <xdr:rowOff>1383242</xdr:rowOff>
    </xdr:to>
    <xdr:pic>
      <xdr:nvPicPr>
        <xdr:cNvPr id="68" name="图片 67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5" y="60659010"/>
          <a:ext cx="660400" cy="133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677757</xdr:colOff>
      <xdr:row>47</xdr:row>
      <xdr:rowOff>34502</xdr:rowOff>
    </xdr:from>
    <xdr:to>
      <xdr:col>1</xdr:col>
      <xdr:colOff>1362287</xdr:colOff>
      <xdr:row>47</xdr:row>
      <xdr:rowOff>1417532</xdr:rowOff>
    </xdr:to>
    <xdr:pic>
      <xdr:nvPicPr>
        <xdr:cNvPr id="69" name="图片 68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7545" y="62106175"/>
          <a:ext cx="687705" cy="1379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1361017</xdr:colOff>
      <xdr:row>47</xdr:row>
      <xdr:rowOff>30691</xdr:rowOff>
    </xdr:from>
    <xdr:to>
      <xdr:col>1</xdr:col>
      <xdr:colOff>2065867</xdr:colOff>
      <xdr:row>47</xdr:row>
      <xdr:rowOff>1417645</xdr:rowOff>
    </xdr:to>
    <xdr:pic>
      <xdr:nvPicPr>
        <xdr:cNvPr id="70" name="图片 69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60805" y="62102365"/>
          <a:ext cx="708025" cy="1383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645583</xdr:colOff>
      <xdr:row>45</xdr:row>
      <xdr:rowOff>18838</xdr:rowOff>
    </xdr:from>
    <xdr:to>
      <xdr:col>1</xdr:col>
      <xdr:colOff>1363133</xdr:colOff>
      <xdr:row>45</xdr:row>
      <xdr:rowOff>1216105</xdr:rowOff>
    </xdr:to>
    <xdr:pic>
      <xdr:nvPicPr>
        <xdr:cNvPr id="71" name="图片 70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5160" y="59371865"/>
          <a:ext cx="714375" cy="1197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1361229</xdr:colOff>
      <xdr:row>45</xdr:row>
      <xdr:rowOff>23283</xdr:rowOff>
    </xdr:from>
    <xdr:to>
      <xdr:col>1</xdr:col>
      <xdr:colOff>2111701</xdr:colOff>
      <xdr:row>45</xdr:row>
      <xdr:rowOff>1225550</xdr:rowOff>
    </xdr:to>
    <xdr:pic>
      <xdr:nvPicPr>
        <xdr:cNvPr id="72" name="图片 71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60805" y="59376310"/>
          <a:ext cx="750570" cy="1199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205203</xdr:colOff>
      <xdr:row>23</xdr:row>
      <xdr:rowOff>155379</xdr:rowOff>
    </xdr:from>
    <xdr:to>
      <xdr:col>1</xdr:col>
      <xdr:colOff>2673667</xdr:colOff>
      <xdr:row>23</xdr:row>
      <xdr:rowOff>1475886</xdr:rowOff>
    </xdr:to>
    <xdr:pic>
      <xdr:nvPicPr>
        <xdr:cNvPr id="73" name="图片 72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5203" y="30928456"/>
          <a:ext cx="2471639" cy="1317332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110539</xdr:colOff>
      <xdr:row>24</xdr:row>
      <xdr:rowOff>135743</xdr:rowOff>
    </xdr:from>
    <xdr:to>
      <xdr:col>1</xdr:col>
      <xdr:colOff>1497867</xdr:colOff>
      <xdr:row>24</xdr:row>
      <xdr:rowOff>1390393</xdr:rowOff>
    </xdr:to>
    <xdr:pic>
      <xdr:nvPicPr>
        <xdr:cNvPr id="74" name="图片 73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539" y="32535397"/>
          <a:ext cx="1384153" cy="1254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1502458</xdr:colOff>
      <xdr:row>24</xdr:row>
      <xdr:rowOff>152447</xdr:rowOff>
    </xdr:from>
    <xdr:to>
      <xdr:col>2</xdr:col>
      <xdr:colOff>2453</xdr:colOff>
      <xdr:row>24</xdr:row>
      <xdr:rowOff>1402617</xdr:rowOff>
    </xdr:to>
    <xdr:pic>
      <xdr:nvPicPr>
        <xdr:cNvPr id="75" name="图片 74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02458" y="32552101"/>
          <a:ext cx="1362787" cy="1246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</xdr:row>
      <xdr:rowOff>137371</xdr:rowOff>
    </xdr:from>
    <xdr:to>
      <xdr:col>1</xdr:col>
      <xdr:colOff>1370542</xdr:colOff>
      <xdr:row>25</xdr:row>
      <xdr:rowOff>1334584</xdr:rowOff>
    </xdr:to>
    <xdr:pic>
      <xdr:nvPicPr>
        <xdr:cNvPr id="76" name="图片 75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0915610"/>
          <a:ext cx="1370330" cy="1196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1292014</xdr:colOff>
      <xdr:row>25</xdr:row>
      <xdr:rowOff>137795</xdr:rowOff>
    </xdr:from>
    <xdr:to>
      <xdr:col>1</xdr:col>
      <xdr:colOff>2560955</xdr:colOff>
      <xdr:row>25</xdr:row>
      <xdr:rowOff>1349375</xdr:rowOff>
    </xdr:to>
    <xdr:pic>
      <xdr:nvPicPr>
        <xdr:cNvPr id="77" name="图片 76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1590" y="30916245"/>
          <a:ext cx="1266190" cy="1211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43604</xdr:colOff>
      <xdr:row>15</xdr:row>
      <xdr:rowOff>10371</xdr:rowOff>
    </xdr:from>
    <xdr:to>
      <xdr:col>1</xdr:col>
      <xdr:colOff>1209503</xdr:colOff>
      <xdr:row>15</xdr:row>
      <xdr:rowOff>1553633</xdr:rowOff>
    </xdr:to>
    <xdr:pic>
      <xdr:nvPicPr>
        <xdr:cNvPr id="78" name="图片 77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180" y="14532610"/>
          <a:ext cx="116903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1207558</xdr:colOff>
      <xdr:row>15</xdr:row>
      <xdr:rowOff>14817</xdr:rowOff>
    </xdr:from>
    <xdr:to>
      <xdr:col>1</xdr:col>
      <xdr:colOff>2444967</xdr:colOff>
      <xdr:row>15</xdr:row>
      <xdr:rowOff>1545167</xdr:rowOff>
    </xdr:to>
    <xdr:pic>
      <xdr:nvPicPr>
        <xdr:cNvPr id="79" name="图片 78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07135" y="14537055"/>
          <a:ext cx="1240790" cy="153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48683</xdr:colOff>
      <xdr:row>16</xdr:row>
      <xdr:rowOff>15452</xdr:rowOff>
    </xdr:from>
    <xdr:to>
      <xdr:col>1</xdr:col>
      <xdr:colOff>1170750</xdr:colOff>
      <xdr:row>16</xdr:row>
      <xdr:rowOff>1569507</xdr:rowOff>
    </xdr:to>
    <xdr:pic>
      <xdr:nvPicPr>
        <xdr:cNvPr id="80" name="图片 79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260" y="16163290"/>
          <a:ext cx="1125220" cy="1550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1170305</xdr:colOff>
      <xdr:row>16</xdr:row>
      <xdr:rowOff>16722</xdr:rowOff>
    </xdr:from>
    <xdr:to>
      <xdr:col>1</xdr:col>
      <xdr:colOff>2483238</xdr:colOff>
      <xdr:row>16</xdr:row>
      <xdr:rowOff>1552574</xdr:rowOff>
    </xdr:to>
    <xdr:pic>
      <xdr:nvPicPr>
        <xdr:cNvPr id="81" name="图片 80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70305" y="16164560"/>
          <a:ext cx="1309370" cy="1538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43391</xdr:colOff>
      <xdr:row>19</xdr:row>
      <xdr:rowOff>185208</xdr:rowOff>
    </xdr:from>
    <xdr:to>
      <xdr:col>1</xdr:col>
      <xdr:colOff>1231281</xdr:colOff>
      <xdr:row>19</xdr:row>
      <xdr:rowOff>1449915</xdr:rowOff>
    </xdr:to>
    <xdr:pic>
      <xdr:nvPicPr>
        <xdr:cNvPr id="82" name="图片 81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180" y="17958435"/>
          <a:ext cx="1184910" cy="1264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1138343</xdr:colOff>
      <xdr:row>19</xdr:row>
      <xdr:rowOff>182881</xdr:rowOff>
    </xdr:from>
    <xdr:to>
      <xdr:col>1</xdr:col>
      <xdr:colOff>2506133</xdr:colOff>
      <xdr:row>19</xdr:row>
      <xdr:rowOff>1454997</xdr:rowOff>
    </xdr:to>
    <xdr:pic>
      <xdr:nvPicPr>
        <xdr:cNvPr id="83" name="图片 82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37920" y="17956530"/>
          <a:ext cx="1364615" cy="1268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5926</xdr:colOff>
      <xdr:row>20</xdr:row>
      <xdr:rowOff>116415</xdr:rowOff>
    </xdr:from>
    <xdr:to>
      <xdr:col>1</xdr:col>
      <xdr:colOff>1389181</xdr:colOff>
      <xdr:row>20</xdr:row>
      <xdr:rowOff>1341965</xdr:rowOff>
    </xdr:to>
    <xdr:pic>
      <xdr:nvPicPr>
        <xdr:cNvPr id="84" name="图片 83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" y="19515455"/>
          <a:ext cx="1383030" cy="1222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1360805</xdr:colOff>
      <xdr:row>20</xdr:row>
      <xdr:rowOff>117263</xdr:rowOff>
    </xdr:from>
    <xdr:to>
      <xdr:col>1</xdr:col>
      <xdr:colOff>2513542</xdr:colOff>
      <xdr:row>20</xdr:row>
      <xdr:rowOff>1340908</xdr:rowOff>
    </xdr:to>
    <xdr:pic>
      <xdr:nvPicPr>
        <xdr:cNvPr id="85" name="图片 84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60805" y="19516090"/>
          <a:ext cx="1152525" cy="1226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180974</xdr:colOff>
      <xdr:row>17</xdr:row>
      <xdr:rowOff>68368</xdr:rowOff>
    </xdr:from>
    <xdr:to>
      <xdr:col>1</xdr:col>
      <xdr:colOff>1260144</xdr:colOff>
      <xdr:row>17</xdr:row>
      <xdr:rowOff>1552574</xdr:rowOff>
    </xdr:to>
    <xdr:pic>
      <xdr:nvPicPr>
        <xdr:cNvPr id="86" name="图片 85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340" y="21092795"/>
          <a:ext cx="1079500" cy="1487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1249680</xdr:colOff>
      <xdr:row>17</xdr:row>
      <xdr:rowOff>64347</xdr:rowOff>
    </xdr:from>
    <xdr:to>
      <xdr:col>1</xdr:col>
      <xdr:colOff>2506727</xdr:colOff>
      <xdr:row>17</xdr:row>
      <xdr:rowOff>1545167</xdr:rowOff>
    </xdr:to>
    <xdr:pic>
      <xdr:nvPicPr>
        <xdr:cNvPr id="87" name="图片 86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9680" y="21088985"/>
          <a:ext cx="1259840" cy="1480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1345354</xdr:colOff>
      <xdr:row>18</xdr:row>
      <xdr:rowOff>35560</xdr:rowOff>
    </xdr:from>
    <xdr:to>
      <xdr:col>1</xdr:col>
      <xdr:colOff>2560955</xdr:colOff>
      <xdr:row>18</xdr:row>
      <xdr:rowOff>1561041</xdr:rowOff>
    </xdr:to>
    <xdr:pic>
      <xdr:nvPicPr>
        <xdr:cNvPr id="88" name="图片 87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4930" y="22686010"/>
          <a:ext cx="1212850" cy="152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64769</xdr:colOff>
      <xdr:row>18</xdr:row>
      <xdr:rowOff>29845</xdr:rowOff>
    </xdr:from>
    <xdr:to>
      <xdr:col>1</xdr:col>
      <xdr:colOff>1365195</xdr:colOff>
      <xdr:row>18</xdr:row>
      <xdr:rowOff>1561042</xdr:rowOff>
    </xdr:to>
    <xdr:pic>
      <xdr:nvPicPr>
        <xdr:cNvPr id="89" name="图片 88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135" y="22680295"/>
          <a:ext cx="1297305" cy="1530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868681</xdr:colOff>
      <xdr:row>26</xdr:row>
      <xdr:rowOff>52492</xdr:rowOff>
    </xdr:from>
    <xdr:to>
      <xdr:col>1</xdr:col>
      <xdr:colOff>1801284</xdr:colOff>
      <xdr:row>26</xdr:row>
      <xdr:rowOff>1580293</xdr:rowOff>
    </xdr:to>
    <xdr:pic>
      <xdr:nvPicPr>
        <xdr:cNvPr id="90" name="图片 89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8680" y="32456120"/>
          <a:ext cx="935355" cy="1527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429260</xdr:colOff>
      <xdr:row>22</xdr:row>
      <xdr:rowOff>58419</xdr:rowOff>
    </xdr:from>
    <xdr:to>
      <xdr:col>1</xdr:col>
      <xdr:colOff>2255996</xdr:colOff>
      <xdr:row>22</xdr:row>
      <xdr:rowOff>1573741</xdr:rowOff>
    </xdr:to>
    <xdr:pic>
      <xdr:nvPicPr>
        <xdr:cNvPr id="91" name="图片 90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429260" y="24333835"/>
          <a:ext cx="1829435" cy="151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58843</xdr:colOff>
      <xdr:row>21</xdr:row>
      <xdr:rowOff>167493</xdr:rowOff>
    </xdr:from>
    <xdr:to>
      <xdr:col>1</xdr:col>
      <xdr:colOff>1562483</xdr:colOff>
      <xdr:row>21</xdr:row>
      <xdr:rowOff>1344570</xdr:rowOff>
    </xdr:to>
    <xdr:pic>
      <xdr:nvPicPr>
        <xdr:cNvPr id="92" name="图片 91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843" y="29313993"/>
          <a:ext cx="1503640" cy="1180252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1530257</xdr:colOff>
      <xdr:row>21</xdr:row>
      <xdr:rowOff>171808</xdr:rowOff>
    </xdr:from>
    <xdr:to>
      <xdr:col>1</xdr:col>
      <xdr:colOff>2678185</xdr:colOff>
      <xdr:row>21</xdr:row>
      <xdr:rowOff>1364760</xdr:rowOff>
    </xdr:to>
    <xdr:pic>
      <xdr:nvPicPr>
        <xdr:cNvPr id="93" name="图片 92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30257" y="29318308"/>
          <a:ext cx="1144753" cy="1189777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270722</xdr:colOff>
      <xdr:row>3</xdr:row>
      <xdr:rowOff>45721</xdr:rowOff>
    </xdr:from>
    <xdr:to>
      <xdr:col>1</xdr:col>
      <xdr:colOff>1436159</xdr:colOff>
      <xdr:row>3</xdr:row>
      <xdr:rowOff>1496061</xdr:rowOff>
    </xdr:to>
    <xdr:pic>
      <xdr:nvPicPr>
        <xdr:cNvPr id="94" name="图片 93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PicPr/>
      </xdr:nvPicPr>
      <xdr:blipFill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510" y="598170"/>
          <a:ext cx="1168400" cy="145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947046</xdr:colOff>
      <xdr:row>5</xdr:row>
      <xdr:rowOff>67148</xdr:rowOff>
    </xdr:from>
    <xdr:to>
      <xdr:col>1</xdr:col>
      <xdr:colOff>1983154</xdr:colOff>
      <xdr:row>5</xdr:row>
      <xdr:rowOff>1513255</xdr:rowOff>
    </xdr:to>
    <xdr:pic>
      <xdr:nvPicPr>
        <xdr:cNvPr id="95" name="图片 94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PicPr/>
      </xdr:nvPicPr>
      <xdr:blipFill>
        <a:blip xmlns:r="http://schemas.openxmlformats.org/officeDocument/2006/relationships" r:embed="rId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7046" y="3847840"/>
          <a:ext cx="1036108" cy="1442932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1437639</xdr:colOff>
      <xdr:row>3</xdr:row>
      <xdr:rowOff>47201</xdr:rowOff>
    </xdr:from>
    <xdr:to>
      <xdr:col>1</xdr:col>
      <xdr:colOff>2542116</xdr:colOff>
      <xdr:row>3</xdr:row>
      <xdr:rowOff>1494366</xdr:rowOff>
    </xdr:to>
    <xdr:pic>
      <xdr:nvPicPr>
        <xdr:cNvPr id="97" name="图片 96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/>
      </xdr:nvPicPr>
      <xdr:blipFill>
        <a:blip xmlns:r="http://schemas.openxmlformats.org/officeDocument/2006/relationships" r:embed="rId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37005" y="599440"/>
          <a:ext cx="1108075" cy="145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963987</xdr:colOff>
      <xdr:row>6</xdr:row>
      <xdr:rowOff>94452</xdr:rowOff>
    </xdr:from>
    <xdr:to>
      <xdr:col>1</xdr:col>
      <xdr:colOff>2027400</xdr:colOff>
      <xdr:row>6</xdr:row>
      <xdr:rowOff>1533997</xdr:rowOff>
    </xdr:to>
    <xdr:pic>
      <xdr:nvPicPr>
        <xdr:cNvPr id="98" name="图片 97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/>
      </xdr:nvPicPr>
      <xdr:blipFill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3987" y="5501721"/>
          <a:ext cx="1066588" cy="144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498899</xdr:colOff>
      <xdr:row>37</xdr:row>
      <xdr:rowOff>21802</xdr:rowOff>
    </xdr:from>
    <xdr:to>
      <xdr:col>1</xdr:col>
      <xdr:colOff>1398694</xdr:colOff>
      <xdr:row>37</xdr:row>
      <xdr:rowOff>1456267</xdr:rowOff>
    </xdr:to>
    <xdr:pic>
      <xdr:nvPicPr>
        <xdr:cNvPr id="100" name="图片 99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PicPr/>
      </xdr:nvPicPr>
      <xdr:blipFill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8475" y="41569640"/>
          <a:ext cx="896620" cy="143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1389168</xdr:colOff>
      <xdr:row>37</xdr:row>
      <xdr:rowOff>27093</xdr:rowOff>
    </xdr:from>
    <xdr:to>
      <xdr:col>1</xdr:col>
      <xdr:colOff>2295948</xdr:colOff>
      <xdr:row>37</xdr:row>
      <xdr:rowOff>1464733</xdr:rowOff>
    </xdr:to>
    <xdr:pic>
      <xdr:nvPicPr>
        <xdr:cNvPr id="101" name="图片 100">
          <a:extLst>
            <a:ext uri="{FF2B5EF4-FFF2-40B4-BE49-F238E27FC236}">
              <a16:creationId xmlns:a16="http://schemas.microsoft.com/office/drawing/2014/main" xmlns="" id="{00000000-0008-0000-0000-000065000000}"/>
            </a:ext>
          </a:extLst>
        </xdr:cNvPr>
        <xdr:cNvPicPr/>
      </xdr:nvPicPr>
      <xdr:blipFill>
        <a:blip xmlns:r="http://schemas.openxmlformats.org/officeDocument/2006/relationships" r:embed="rId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88745" y="41574720"/>
          <a:ext cx="903605" cy="143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473287</xdr:colOff>
      <xdr:row>38</xdr:row>
      <xdr:rowOff>16510</xdr:rowOff>
    </xdr:from>
    <xdr:to>
      <xdr:col>1</xdr:col>
      <xdr:colOff>1379432</xdr:colOff>
      <xdr:row>38</xdr:row>
      <xdr:rowOff>1457325</xdr:rowOff>
    </xdr:to>
    <xdr:pic>
      <xdr:nvPicPr>
        <xdr:cNvPr id="102" name="图片 101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PicPr/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3075" y="43088560"/>
          <a:ext cx="902970" cy="1437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1382818</xdr:colOff>
      <xdr:row>38</xdr:row>
      <xdr:rowOff>3175</xdr:rowOff>
    </xdr:from>
    <xdr:to>
      <xdr:col>1</xdr:col>
      <xdr:colOff>2286423</xdr:colOff>
      <xdr:row>38</xdr:row>
      <xdr:rowOff>1436158</xdr:rowOff>
    </xdr:to>
    <xdr:pic>
      <xdr:nvPicPr>
        <xdr:cNvPr id="103" name="图片 102"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PicPr/>
      </xdr:nvPicPr>
      <xdr:blipFill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82395" y="43075225"/>
          <a:ext cx="903605" cy="1435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813288</xdr:colOff>
      <xdr:row>4</xdr:row>
      <xdr:rowOff>58615</xdr:rowOff>
    </xdr:from>
    <xdr:to>
      <xdr:col>1</xdr:col>
      <xdr:colOff>2111849</xdr:colOff>
      <xdr:row>4</xdr:row>
      <xdr:rowOff>1555186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xmlns="" id="{BD36CCBD-1581-F247-F855-C645A6CC8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813288" y="2212730"/>
          <a:ext cx="1298561" cy="1499746"/>
        </a:xfrm>
        <a:prstGeom prst="rect">
          <a:avLst/>
        </a:prstGeom>
      </xdr:spPr>
    </xdr:pic>
    <xdr:clientData/>
  </xdr:twoCellAnchor>
  <xdr:twoCellAnchor editAs="oneCell">
    <xdr:from>
      <xdr:col>1</xdr:col>
      <xdr:colOff>905782</xdr:colOff>
      <xdr:row>9</xdr:row>
      <xdr:rowOff>85815</xdr:rowOff>
    </xdr:from>
    <xdr:to>
      <xdr:col>1</xdr:col>
      <xdr:colOff>1954802</xdr:colOff>
      <xdr:row>9</xdr:row>
      <xdr:rowOff>1555205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xmlns="" id="{B687E433-92F0-46E8-B1F3-473D6CADC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5782" y="9086940"/>
          <a:ext cx="1045845" cy="146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673280</xdr:colOff>
      <xdr:row>10</xdr:row>
      <xdr:rowOff>65314</xdr:rowOff>
    </xdr:from>
    <xdr:to>
      <xdr:col>1</xdr:col>
      <xdr:colOff>2054677</xdr:colOff>
      <xdr:row>10</xdr:row>
      <xdr:rowOff>1553754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xmlns="" id="{BC2F94E1-FB08-4DE5-80BC-0E27773C2E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3280" y="10690452"/>
          <a:ext cx="1381397" cy="148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220443</xdr:colOff>
      <xdr:row>30</xdr:row>
      <xdr:rowOff>184444</xdr:rowOff>
    </xdr:from>
    <xdr:to>
      <xdr:col>1</xdr:col>
      <xdr:colOff>1513938</xdr:colOff>
      <xdr:row>33</xdr:row>
      <xdr:rowOff>69118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xmlns="" id="{7AB61045-334F-491E-A705-A228CB7B8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443" y="40577772"/>
          <a:ext cx="1296670" cy="1046479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1533525</xdr:colOff>
      <xdr:row>30</xdr:row>
      <xdr:rowOff>185420</xdr:rowOff>
    </xdr:from>
    <xdr:to>
      <xdr:col>1</xdr:col>
      <xdr:colOff>2741295</xdr:colOff>
      <xdr:row>33</xdr:row>
      <xdr:rowOff>69117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xmlns="" id="{6185B81F-A454-4359-97F4-2CD5CD508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33525" y="40578748"/>
          <a:ext cx="1207770" cy="1045502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214"/>
  <sheetViews>
    <sheetView showGridLines="0" tabSelected="1" zoomScale="90" zoomScaleNormal="90" zoomScaleSheetLayoutView="90" workbookViewId="0">
      <pane ySplit="3" topLeftCell="A4" activePane="bottomLeft" state="frozen"/>
      <selection pane="bottomLeft" activeCell="I4" sqref="I4"/>
    </sheetView>
  </sheetViews>
  <sheetFormatPr defaultColWidth="9.140625" defaultRowHeight="18.75"/>
  <cols>
    <col min="1" max="1" width="9.140625" style="1"/>
    <col min="2" max="2" width="41.28515625" style="1" customWidth="1"/>
    <col min="3" max="3" width="14.42578125" style="1" customWidth="1"/>
    <col min="4" max="4" width="14.85546875" style="1" customWidth="1"/>
    <col min="5" max="5" width="15" style="5" customWidth="1"/>
    <col min="6" max="6" width="31.28515625" style="5" customWidth="1"/>
    <col min="7" max="7" width="4.140625" style="7" customWidth="1"/>
    <col min="8" max="15" width="10.5703125" style="7" customWidth="1"/>
    <col min="16" max="16" width="15.7109375" style="21" customWidth="1"/>
    <col min="17" max="17" width="18.42578125" style="26" customWidth="1"/>
    <col min="18" max="18" width="16.5703125" style="27" hidden="1" customWidth="1"/>
    <col min="19" max="19" width="28.42578125" style="26" customWidth="1"/>
    <col min="20" max="16384" width="9.140625" style="1"/>
  </cols>
  <sheetData>
    <row r="1" spans="2:19" ht="54" customHeight="1" thickBot="1">
      <c r="B1" s="60" t="s">
        <v>77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2"/>
    </row>
    <row r="2" spans="2:19" ht="28.5" customHeight="1">
      <c r="B2" s="69" t="s">
        <v>68</v>
      </c>
      <c r="C2" s="63" t="s">
        <v>75</v>
      </c>
      <c r="D2" s="65" t="s">
        <v>65</v>
      </c>
      <c r="E2" s="67" t="s">
        <v>66</v>
      </c>
      <c r="F2" s="67" t="s">
        <v>74</v>
      </c>
      <c r="G2" s="17" t="s">
        <v>69</v>
      </c>
      <c r="H2" s="17" t="s">
        <v>0</v>
      </c>
      <c r="I2" s="17" t="s">
        <v>1</v>
      </c>
      <c r="J2" s="17" t="s">
        <v>2</v>
      </c>
      <c r="K2" s="17" t="s">
        <v>3</v>
      </c>
      <c r="L2" s="17" t="s">
        <v>4</v>
      </c>
      <c r="M2" s="17" t="s">
        <v>5</v>
      </c>
      <c r="N2" s="17"/>
      <c r="O2" s="19"/>
      <c r="P2" s="52" t="s">
        <v>71</v>
      </c>
      <c r="Q2" s="54" t="s">
        <v>72</v>
      </c>
      <c r="R2" s="22" t="s">
        <v>67</v>
      </c>
      <c r="S2" s="56" t="s">
        <v>73</v>
      </c>
    </row>
    <row r="3" spans="2:19" ht="28.5" customHeight="1" thickBot="1">
      <c r="B3" s="70"/>
      <c r="C3" s="64"/>
      <c r="D3" s="66"/>
      <c r="E3" s="68"/>
      <c r="F3" s="68"/>
      <c r="G3" s="18" t="s">
        <v>70</v>
      </c>
      <c r="H3" s="18">
        <v>30</v>
      </c>
      <c r="I3" s="18">
        <v>32</v>
      </c>
      <c r="J3" s="18">
        <v>34</v>
      </c>
      <c r="K3" s="18">
        <v>36</v>
      </c>
      <c r="L3" s="18">
        <v>38</v>
      </c>
      <c r="M3" s="18">
        <v>40</v>
      </c>
      <c r="N3" s="18">
        <v>42</v>
      </c>
      <c r="O3" s="20">
        <v>44</v>
      </c>
      <c r="P3" s="53"/>
      <c r="Q3" s="55"/>
      <c r="R3" s="23"/>
      <c r="S3" s="57"/>
    </row>
    <row r="4" spans="2:19" ht="128.1" customHeight="1">
      <c r="B4" s="41"/>
      <c r="C4" s="38" t="s">
        <v>6</v>
      </c>
      <c r="D4" s="12">
        <v>583747</v>
      </c>
      <c r="E4" s="13" t="s">
        <v>7</v>
      </c>
      <c r="F4" s="13" t="s">
        <v>8</v>
      </c>
      <c r="G4" s="14" t="s">
        <v>69</v>
      </c>
      <c r="H4" s="14">
        <v>200</v>
      </c>
      <c r="I4" s="14">
        <v>500</v>
      </c>
      <c r="J4" s="14">
        <v>900</v>
      </c>
      <c r="K4" s="14">
        <v>500</v>
      </c>
      <c r="L4" s="14">
        <v>275</v>
      </c>
      <c r="M4" s="14">
        <f>108+17</f>
        <v>125</v>
      </c>
      <c r="N4" s="14"/>
      <c r="O4" s="15"/>
      <c r="P4" s="44">
        <v>2500</v>
      </c>
      <c r="Q4" s="47">
        <v>19.989999999999998</v>
      </c>
      <c r="R4" s="16">
        <v>49974.999999999993</v>
      </c>
      <c r="S4" s="48">
        <f>P4*Q4</f>
        <v>49974.999999999993</v>
      </c>
    </row>
    <row r="5" spans="2:19" ht="128.1" customHeight="1">
      <c r="B5" s="42"/>
      <c r="C5" s="39" t="s">
        <v>6</v>
      </c>
      <c r="D5" s="2">
        <v>583749</v>
      </c>
      <c r="E5" s="3" t="s">
        <v>9</v>
      </c>
      <c r="F5" s="3" t="s">
        <v>8</v>
      </c>
      <c r="G5" s="6" t="s">
        <v>69</v>
      </c>
      <c r="H5" s="6">
        <f>100</f>
        <v>100</v>
      </c>
      <c r="I5" s="6">
        <f t="shared" ref="I5:I8" si="0">150+250</f>
        <v>400</v>
      </c>
      <c r="J5" s="6">
        <f t="shared" ref="J5:J8" si="1">550+250</f>
        <v>800</v>
      </c>
      <c r="K5" s="6">
        <f t="shared" ref="K5:K8" si="2">150+250</f>
        <v>400</v>
      </c>
      <c r="L5" s="6">
        <v>200</v>
      </c>
      <c r="M5" s="6">
        <v>100</v>
      </c>
      <c r="N5" s="6"/>
      <c r="O5" s="8"/>
      <c r="P5" s="45">
        <v>2000</v>
      </c>
      <c r="Q5" s="49">
        <v>19.989999999999998</v>
      </c>
      <c r="R5" s="11">
        <v>39980</v>
      </c>
      <c r="S5" s="48">
        <f t="shared" ref="S5:S57" si="3">P5*Q5</f>
        <v>39980</v>
      </c>
    </row>
    <row r="6" spans="2:19" ht="128.1" customHeight="1">
      <c r="B6" s="42"/>
      <c r="C6" s="39" t="s">
        <v>6</v>
      </c>
      <c r="D6" s="2">
        <v>583749</v>
      </c>
      <c r="E6" s="3" t="s">
        <v>10</v>
      </c>
      <c r="F6" s="3" t="s">
        <v>8</v>
      </c>
      <c r="G6" s="6" t="s">
        <v>69</v>
      </c>
      <c r="H6" s="6">
        <v>100</v>
      </c>
      <c r="I6" s="6">
        <f>250+150</f>
        <v>400</v>
      </c>
      <c r="J6" s="6">
        <f t="shared" si="1"/>
        <v>800</v>
      </c>
      <c r="K6" s="6">
        <f t="shared" si="2"/>
        <v>400</v>
      </c>
      <c r="L6" s="6">
        <v>200</v>
      </c>
      <c r="M6" s="6">
        <v>100</v>
      </c>
      <c r="N6" s="6"/>
      <c r="O6" s="8"/>
      <c r="P6" s="45">
        <v>2000</v>
      </c>
      <c r="Q6" s="49">
        <v>19.989999999999998</v>
      </c>
      <c r="R6" s="11">
        <v>39980</v>
      </c>
      <c r="S6" s="48">
        <f t="shared" si="3"/>
        <v>39980</v>
      </c>
    </row>
    <row r="7" spans="2:19" ht="128.1" customHeight="1">
      <c r="B7" s="42"/>
      <c r="C7" s="39" t="s">
        <v>11</v>
      </c>
      <c r="D7" s="2">
        <v>583745</v>
      </c>
      <c r="E7" s="3" t="s">
        <v>9</v>
      </c>
      <c r="F7" s="3" t="s">
        <v>8</v>
      </c>
      <c r="G7" s="6" t="s">
        <v>69</v>
      </c>
      <c r="H7" s="6">
        <v>100</v>
      </c>
      <c r="I7" s="6">
        <f t="shared" si="0"/>
        <v>400</v>
      </c>
      <c r="J7" s="6">
        <f>490+250</f>
        <v>740</v>
      </c>
      <c r="K7" s="6">
        <f>90+250</f>
        <v>340</v>
      </c>
      <c r="L7" s="6">
        <f>170+13</f>
        <v>183</v>
      </c>
      <c r="M7" s="6">
        <v>100</v>
      </c>
      <c r="N7" s="6"/>
      <c r="O7" s="8"/>
      <c r="P7" s="45">
        <v>1863</v>
      </c>
      <c r="Q7" s="49">
        <v>25.99</v>
      </c>
      <c r="R7" s="11">
        <v>48419.369999999995</v>
      </c>
      <c r="S7" s="48">
        <f t="shared" si="3"/>
        <v>48419.369999999995</v>
      </c>
    </row>
    <row r="8" spans="2:19" ht="128.1" customHeight="1">
      <c r="B8" s="42"/>
      <c r="C8" s="39" t="s">
        <v>11</v>
      </c>
      <c r="D8" s="2">
        <v>583745</v>
      </c>
      <c r="E8" s="3" t="s">
        <v>10</v>
      </c>
      <c r="F8" s="3" t="s">
        <v>8</v>
      </c>
      <c r="G8" s="6" t="s">
        <v>69</v>
      </c>
      <c r="H8" s="6">
        <v>100</v>
      </c>
      <c r="I8" s="6">
        <f t="shared" si="0"/>
        <v>400</v>
      </c>
      <c r="J8" s="6">
        <f t="shared" si="1"/>
        <v>800</v>
      </c>
      <c r="K8" s="6">
        <f t="shared" si="2"/>
        <v>400</v>
      </c>
      <c r="L8" s="6">
        <f>187+13</f>
        <v>200</v>
      </c>
      <c r="M8" s="6">
        <v>100</v>
      </c>
      <c r="N8" s="6"/>
      <c r="O8" s="8"/>
      <c r="P8" s="45">
        <v>2000</v>
      </c>
      <c r="Q8" s="49">
        <v>25.99</v>
      </c>
      <c r="R8" s="11">
        <v>51980</v>
      </c>
      <c r="S8" s="48">
        <f t="shared" si="3"/>
        <v>51980</v>
      </c>
    </row>
    <row r="9" spans="2:19" ht="128.1" customHeight="1">
      <c r="B9" s="42"/>
      <c r="C9" s="39" t="s">
        <v>11</v>
      </c>
      <c r="D9" s="2">
        <v>583739</v>
      </c>
      <c r="E9" s="3" t="s">
        <v>12</v>
      </c>
      <c r="F9" s="3" t="s">
        <v>8</v>
      </c>
      <c r="G9" s="6" t="s">
        <v>69</v>
      </c>
      <c r="H9" s="6">
        <v>100</v>
      </c>
      <c r="I9" s="6">
        <v>400</v>
      </c>
      <c r="J9" s="6">
        <v>800</v>
      </c>
      <c r="K9" s="6">
        <v>400</v>
      </c>
      <c r="L9" s="6">
        <f>187+13</f>
        <v>200</v>
      </c>
      <c r="M9" s="6">
        <v>100</v>
      </c>
      <c r="N9" s="6"/>
      <c r="O9" s="8"/>
      <c r="P9" s="45">
        <v>2000</v>
      </c>
      <c r="Q9" s="49">
        <v>25.99</v>
      </c>
      <c r="R9" s="11">
        <v>51980</v>
      </c>
      <c r="S9" s="48">
        <f t="shared" si="3"/>
        <v>51980</v>
      </c>
    </row>
    <row r="10" spans="2:19" ht="128.1" customHeight="1">
      <c r="B10" s="42"/>
      <c r="C10" s="39" t="s">
        <v>61</v>
      </c>
      <c r="D10" s="2">
        <v>583636</v>
      </c>
      <c r="E10" s="3" t="s">
        <v>12</v>
      </c>
      <c r="F10" s="3" t="s">
        <v>8</v>
      </c>
      <c r="G10" s="6" t="s">
        <v>69</v>
      </c>
      <c r="H10" s="6">
        <v>200</v>
      </c>
      <c r="I10" s="6">
        <v>600</v>
      </c>
      <c r="J10" s="6">
        <v>1100</v>
      </c>
      <c r="K10" s="6">
        <v>600</v>
      </c>
      <c r="L10" s="6">
        <v>300</v>
      </c>
      <c r="M10" s="6">
        <v>200</v>
      </c>
      <c r="N10" s="8"/>
      <c r="O10" s="8"/>
      <c r="P10" s="45">
        <v>3000</v>
      </c>
      <c r="Q10" s="49">
        <v>19.989999999999998</v>
      </c>
      <c r="R10" s="11">
        <v>59969.999999999993</v>
      </c>
      <c r="S10" s="48">
        <f t="shared" si="3"/>
        <v>59969.999999999993</v>
      </c>
    </row>
    <row r="11" spans="2:19" ht="128.1" customHeight="1">
      <c r="B11" s="42"/>
      <c r="C11" s="39" t="s">
        <v>61</v>
      </c>
      <c r="D11" s="2">
        <v>583636</v>
      </c>
      <c r="E11" s="3" t="s">
        <v>7</v>
      </c>
      <c r="F11" s="3" t="s">
        <v>8</v>
      </c>
      <c r="G11" s="6" t="s">
        <v>69</v>
      </c>
      <c r="H11" s="6">
        <v>390</v>
      </c>
      <c r="I11" s="6">
        <v>750</v>
      </c>
      <c r="J11" s="6">
        <v>810</v>
      </c>
      <c r="K11" s="6">
        <v>600</v>
      </c>
      <c r="L11" s="6">
        <v>300</v>
      </c>
      <c r="M11" s="6">
        <v>150</v>
      </c>
      <c r="N11" s="8"/>
      <c r="O11" s="8"/>
      <c r="P11" s="45">
        <v>3000</v>
      </c>
      <c r="Q11" s="49">
        <v>19.989999999999998</v>
      </c>
      <c r="R11" s="11">
        <v>59969.999999999993</v>
      </c>
      <c r="S11" s="48">
        <f t="shared" si="3"/>
        <v>59969.999999999993</v>
      </c>
    </row>
    <row r="12" spans="2:19" ht="83.1" customHeight="1">
      <c r="B12" s="71"/>
      <c r="C12" s="74" t="s">
        <v>13</v>
      </c>
      <c r="D12" s="77">
        <v>583631</v>
      </c>
      <c r="E12" s="3" t="s">
        <v>14</v>
      </c>
      <c r="F12" s="3" t="s">
        <v>15</v>
      </c>
      <c r="G12" s="6" t="s">
        <v>69</v>
      </c>
      <c r="H12" s="6" t="s">
        <v>16</v>
      </c>
      <c r="I12" s="6">
        <f>250</f>
        <v>250</v>
      </c>
      <c r="J12" s="6">
        <f>250+100</f>
        <v>350</v>
      </c>
      <c r="K12" s="6">
        <f>250</f>
        <v>250</v>
      </c>
      <c r="L12" s="6">
        <v>100</v>
      </c>
      <c r="M12" s="6">
        <v>50</v>
      </c>
      <c r="N12" s="6"/>
      <c r="O12" s="8"/>
      <c r="P12" s="45">
        <v>1000</v>
      </c>
      <c r="Q12" s="49">
        <v>12.99</v>
      </c>
      <c r="R12" s="11">
        <v>12990</v>
      </c>
      <c r="S12" s="48">
        <f t="shared" si="3"/>
        <v>12990</v>
      </c>
    </row>
    <row r="13" spans="2:19" ht="83.1" customHeight="1">
      <c r="B13" s="72"/>
      <c r="C13" s="75"/>
      <c r="D13" s="78"/>
      <c r="E13" s="3" t="s">
        <v>17</v>
      </c>
      <c r="F13" s="3" t="s">
        <v>15</v>
      </c>
      <c r="G13" s="6" t="s">
        <v>69</v>
      </c>
      <c r="H13" s="6" t="s">
        <v>16</v>
      </c>
      <c r="I13" s="6">
        <v>250</v>
      </c>
      <c r="J13" s="6">
        <f>250+100</f>
        <v>350</v>
      </c>
      <c r="K13" s="6">
        <v>250</v>
      </c>
      <c r="L13" s="6">
        <v>100</v>
      </c>
      <c r="M13" s="6">
        <v>50</v>
      </c>
      <c r="N13" s="6"/>
      <c r="O13" s="8"/>
      <c r="P13" s="45">
        <v>1000</v>
      </c>
      <c r="Q13" s="49">
        <v>12.99</v>
      </c>
      <c r="R13" s="11">
        <v>12990</v>
      </c>
      <c r="S13" s="48">
        <f t="shared" si="3"/>
        <v>12990</v>
      </c>
    </row>
    <row r="14" spans="2:19" ht="83.1" customHeight="1">
      <c r="B14" s="72"/>
      <c r="C14" s="75"/>
      <c r="D14" s="77">
        <v>583633</v>
      </c>
      <c r="E14" s="3" t="s">
        <v>14</v>
      </c>
      <c r="F14" s="3" t="s">
        <v>15</v>
      </c>
      <c r="G14" s="6" t="s">
        <v>69</v>
      </c>
      <c r="H14" s="6" t="s">
        <v>16</v>
      </c>
      <c r="I14" s="6" t="s">
        <v>16</v>
      </c>
      <c r="J14" s="6" t="s">
        <v>16</v>
      </c>
      <c r="K14" s="6">
        <v>20</v>
      </c>
      <c r="L14" s="6">
        <v>20</v>
      </c>
      <c r="M14" s="6">
        <v>20</v>
      </c>
      <c r="N14" s="6"/>
      <c r="O14" s="8"/>
      <c r="P14" s="45">
        <v>60</v>
      </c>
      <c r="Q14" s="49">
        <v>12.99</v>
      </c>
      <c r="R14" s="11">
        <v>779.4</v>
      </c>
      <c r="S14" s="48">
        <f t="shared" si="3"/>
        <v>779.4</v>
      </c>
    </row>
    <row r="15" spans="2:19" ht="83.1" customHeight="1">
      <c r="B15" s="73"/>
      <c r="C15" s="76"/>
      <c r="D15" s="78"/>
      <c r="E15" s="3" t="s">
        <v>17</v>
      </c>
      <c r="F15" s="3" t="s">
        <v>15</v>
      </c>
      <c r="G15" s="6" t="s">
        <v>69</v>
      </c>
      <c r="H15" s="6" t="s">
        <v>16</v>
      </c>
      <c r="I15" s="6" t="s">
        <v>16</v>
      </c>
      <c r="J15" s="6" t="s">
        <v>16</v>
      </c>
      <c r="K15" s="6">
        <v>20</v>
      </c>
      <c r="L15" s="6">
        <v>20</v>
      </c>
      <c r="M15" s="6">
        <v>20</v>
      </c>
      <c r="N15" s="6"/>
      <c r="O15" s="8"/>
      <c r="P15" s="45">
        <v>60</v>
      </c>
      <c r="Q15" s="49">
        <v>12.99</v>
      </c>
      <c r="R15" s="11">
        <v>779.4</v>
      </c>
      <c r="S15" s="48">
        <f t="shared" si="3"/>
        <v>779.4</v>
      </c>
    </row>
    <row r="16" spans="2:19" ht="128.1" customHeight="1">
      <c r="B16" s="42"/>
      <c r="C16" s="39" t="s">
        <v>18</v>
      </c>
      <c r="D16" s="2">
        <v>584298</v>
      </c>
      <c r="E16" s="3" t="s">
        <v>19</v>
      </c>
      <c r="F16" s="4" t="s">
        <v>20</v>
      </c>
      <c r="G16" s="6" t="s">
        <v>69</v>
      </c>
      <c r="H16" s="6" t="s">
        <v>16</v>
      </c>
      <c r="I16" s="6" t="s">
        <v>16</v>
      </c>
      <c r="J16" s="6" t="s">
        <v>16</v>
      </c>
      <c r="K16" s="6">
        <f>188+88</f>
        <v>276</v>
      </c>
      <c r="L16" s="6">
        <f>166+83</f>
        <v>249</v>
      </c>
      <c r="M16" s="6">
        <f>88+87</f>
        <v>175</v>
      </c>
      <c r="N16" s="6"/>
      <c r="O16" s="8"/>
      <c r="P16" s="45">
        <v>700</v>
      </c>
      <c r="Q16" s="49">
        <v>19.989999999999998</v>
      </c>
      <c r="R16" s="11">
        <v>13992.999999999998</v>
      </c>
      <c r="S16" s="48">
        <f t="shared" si="3"/>
        <v>13992.999999999998</v>
      </c>
    </row>
    <row r="17" spans="2:19" ht="128.1" customHeight="1">
      <c r="B17" s="42"/>
      <c r="C17" s="39" t="s">
        <v>18</v>
      </c>
      <c r="D17" s="2">
        <v>584298</v>
      </c>
      <c r="E17" s="3" t="s">
        <v>21</v>
      </c>
      <c r="F17" s="4" t="s">
        <v>20</v>
      </c>
      <c r="G17" s="6" t="s">
        <v>69</v>
      </c>
      <c r="H17" s="6" t="s">
        <v>16</v>
      </c>
      <c r="I17" s="6" t="s">
        <v>16</v>
      </c>
      <c r="J17" s="6" t="s">
        <v>16</v>
      </c>
      <c r="K17" s="6">
        <v>200</v>
      </c>
      <c r="L17" s="6">
        <f>88+87</f>
        <v>175</v>
      </c>
      <c r="M17" s="6">
        <f>63+62</f>
        <v>125</v>
      </c>
      <c r="N17" s="6"/>
      <c r="O17" s="8"/>
      <c r="P17" s="45">
        <v>500</v>
      </c>
      <c r="Q17" s="49">
        <v>19.989999999999998</v>
      </c>
      <c r="R17" s="11">
        <v>9995</v>
      </c>
      <c r="S17" s="48">
        <f t="shared" si="3"/>
        <v>9995</v>
      </c>
    </row>
    <row r="18" spans="2:19" ht="128.1" customHeight="1">
      <c r="B18" s="42"/>
      <c r="C18" s="39" t="s">
        <v>18</v>
      </c>
      <c r="D18" s="2">
        <v>583449</v>
      </c>
      <c r="E18" s="3" t="s">
        <v>21</v>
      </c>
      <c r="F18" s="4" t="s">
        <v>20</v>
      </c>
      <c r="G18" s="6" t="s">
        <v>69</v>
      </c>
      <c r="H18" s="6" t="s">
        <v>16</v>
      </c>
      <c r="I18" s="6" t="s">
        <v>16</v>
      </c>
      <c r="J18" s="6" t="s">
        <v>16</v>
      </c>
      <c r="K18" s="6">
        <f>100+749</f>
        <v>849</v>
      </c>
      <c r="L18" s="6">
        <f>100+530+87</f>
        <v>717</v>
      </c>
      <c r="M18" s="6">
        <f>100+435</f>
        <v>535</v>
      </c>
      <c r="N18" s="6"/>
      <c r="O18" s="8"/>
      <c r="P18" s="45">
        <v>2101</v>
      </c>
      <c r="Q18" s="49">
        <v>19.989999999999998</v>
      </c>
      <c r="R18" s="11">
        <v>41998.99</v>
      </c>
      <c r="S18" s="48">
        <f t="shared" si="3"/>
        <v>41998.99</v>
      </c>
    </row>
    <row r="19" spans="2:19" ht="128.1" customHeight="1">
      <c r="B19" s="42"/>
      <c r="C19" s="39" t="s">
        <v>18</v>
      </c>
      <c r="D19" s="2">
        <v>583449</v>
      </c>
      <c r="E19" s="3" t="s">
        <v>25</v>
      </c>
      <c r="F19" s="4" t="s">
        <v>20</v>
      </c>
      <c r="G19" s="6" t="s">
        <v>69</v>
      </c>
      <c r="H19" s="6" t="s">
        <v>16</v>
      </c>
      <c r="I19" s="6" t="s">
        <v>16</v>
      </c>
      <c r="J19" s="6" t="s">
        <v>16</v>
      </c>
      <c r="K19" s="6">
        <f>100+494</f>
        <v>594</v>
      </c>
      <c r="L19" s="6">
        <f>100+324+106</f>
        <v>530</v>
      </c>
      <c r="M19" s="6">
        <f>100+276</f>
        <v>376</v>
      </c>
      <c r="N19" s="6"/>
      <c r="O19" s="8"/>
      <c r="P19" s="45">
        <v>1500</v>
      </c>
      <c r="Q19" s="49">
        <v>19.989999999999998</v>
      </c>
      <c r="R19" s="11">
        <v>29984.999999999996</v>
      </c>
      <c r="S19" s="48">
        <f t="shared" si="3"/>
        <v>29984.999999999996</v>
      </c>
    </row>
    <row r="20" spans="2:19" ht="128.1" customHeight="1">
      <c r="B20" s="42"/>
      <c r="C20" s="39" t="s">
        <v>22</v>
      </c>
      <c r="D20" s="2">
        <v>583243</v>
      </c>
      <c r="E20" s="3" t="s">
        <v>21</v>
      </c>
      <c r="F20" s="3" t="s">
        <v>23</v>
      </c>
      <c r="G20" s="6" t="s">
        <v>69</v>
      </c>
      <c r="H20" s="6" t="s">
        <v>16</v>
      </c>
      <c r="I20" s="6" t="s">
        <v>16</v>
      </c>
      <c r="J20" s="6">
        <v>250</v>
      </c>
      <c r="K20" s="6">
        <f>100+250</f>
        <v>350</v>
      </c>
      <c r="L20" s="6">
        <f>100+150</f>
        <v>250</v>
      </c>
      <c r="M20" s="6">
        <f>50+100</f>
        <v>150</v>
      </c>
      <c r="N20" s="6"/>
      <c r="O20" s="8"/>
      <c r="P20" s="45">
        <v>1000</v>
      </c>
      <c r="Q20" s="49">
        <v>25.99</v>
      </c>
      <c r="R20" s="11">
        <v>25990</v>
      </c>
      <c r="S20" s="48">
        <f t="shared" si="3"/>
        <v>25990</v>
      </c>
    </row>
    <row r="21" spans="2:19" ht="128.1" customHeight="1">
      <c r="B21" s="42"/>
      <c r="C21" s="39" t="s">
        <v>22</v>
      </c>
      <c r="D21" s="2">
        <v>583243</v>
      </c>
      <c r="E21" s="3" t="s">
        <v>24</v>
      </c>
      <c r="F21" s="3" t="s">
        <v>23</v>
      </c>
      <c r="G21" s="6" t="s">
        <v>69</v>
      </c>
      <c r="H21" s="6" t="s">
        <v>16</v>
      </c>
      <c r="I21" s="6" t="s">
        <v>16</v>
      </c>
      <c r="J21" s="6">
        <v>250</v>
      </c>
      <c r="K21" s="6">
        <f>100+250</f>
        <v>350</v>
      </c>
      <c r="L21" s="6">
        <f>250</f>
        <v>250</v>
      </c>
      <c r="M21" s="6">
        <v>150</v>
      </c>
      <c r="N21" s="6"/>
      <c r="O21" s="8"/>
      <c r="P21" s="45">
        <v>1000</v>
      </c>
      <c r="Q21" s="49">
        <v>25.99</v>
      </c>
      <c r="R21" s="11">
        <v>25990</v>
      </c>
      <c r="S21" s="48">
        <f t="shared" si="3"/>
        <v>25990</v>
      </c>
    </row>
    <row r="22" spans="2:19" ht="128.1" customHeight="1">
      <c r="B22" s="42"/>
      <c r="C22" s="39" t="s">
        <v>26</v>
      </c>
      <c r="D22" s="2">
        <v>583241</v>
      </c>
      <c r="E22" s="3" t="s">
        <v>21</v>
      </c>
      <c r="F22" s="3" t="s">
        <v>23</v>
      </c>
      <c r="G22" s="6" t="s">
        <v>69</v>
      </c>
      <c r="H22" s="6" t="s">
        <v>16</v>
      </c>
      <c r="I22" s="6">
        <v>200</v>
      </c>
      <c r="J22" s="6">
        <f>460+46</f>
        <v>506</v>
      </c>
      <c r="K22" s="6">
        <f>150+450</f>
        <v>600</v>
      </c>
      <c r="L22" s="6">
        <f>150+225+22</f>
        <v>397</v>
      </c>
      <c r="M22" s="6">
        <f>150+120+25</f>
        <v>295</v>
      </c>
      <c r="N22" s="6"/>
      <c r="O22" s="8"/>
      <c r="P22" s="45">
        <v>1998</v>
      </c>
      <c r="Q22" s="49">
        <v>25.99</v>
      </c>
      <c r="R22" s="11">
        <v>51928.02</v>
      </c>
      <c r="S22" s="48">
        <f t="shared" si="3"/>
        <v>51928.02</v>
      </c>
    </row>
    <row r="23" spans="2:19" ht="128.1" customHeight="1">
      <c r="B23" s="42"/>
      <c r="C23" s="39" t="s">
        <v>26</v>
      </c>
      <c r="D23" s="2">
        <v>583241</v>
      </c>
      <c r="E23" s="3" t="s">
        <v>24</v>
      </c>
      <c r="F23" s="3" t="s">
        <v>23</v>
      </c>
      <c r="G23" s="6" t="s">
        <v>69</v>
      </c>
      <c r="H23" s="6" t="s">
        <v>16</v>
      </c>
      <c r="I23" s="6">
        <v>150</v>
      </c>
      <c r="J23" s="6">
        <f>329+46</f>
        <v>375</v>
      </c>
      <c r="K23" s="6">
        <f>100+315+28</f>
        <v>443</v>
      </c>
      <c r="L23" s="6">
        <f>100+200</f>
        <v>300</v>
      </c>
      <c r="M23" s="6">
        <f>100+90+35</f>
        <v>225</v>
      </c>
      <c r="N23" s="6"/>
      <c r="O23" s="8"/>
      <c r="P23" s="45">
        <v>1493</v>
      </c>
      <c r="Q23" s="49">
        <v>25.99</v>
      </c>
      <c r="R23" s="11">
        <v>38803.07</v>
      </c>
      <c r="S23" s="48">
        <f t="shared" si="3"/>
        <v>38803.07</v>
      </c>
    </row>
    <row r="24" spans="2:19" ht="128.1" customHeight="1">
      <c r="B24" s="42"/>
      <c r="C24" s="39" t="s">
        <v>27</v>
      </c>
      <c r="D24" s="2">
        <v>583258</v>
      </c>
      <c r="E24" s="3" t="s">
        <v>21</v>
      </c>
      <c r="F24" s="3" t="s">
        <v>23</v>
      </c>
      <c r="G24" s="6" t="s">
        <v>69</v>
      </c>
      <c r="H24" s="6" t="s">
        <v>16</v>
      </c>
      <c r="I24" s="6" t="s">
        <v>16</v>
      </c>
      <c r="J24" s="6">
        <v>600</v>
      </c>
      <c r="K24" s="6">
        <f>150+450</f>
        <v>600</v>
      </c>
      <c r="L24" s="6">
        <f>150+330+21</f>
        <v>501</v>
      </c>
      <c r="M24" s="6">
        <f>150+120+29</f>
        <v>299</v>
      </c>
      <c r="N24" s="6"/>
      <c r="O24" s="8"/>
      <c r="P24" s="45">
        <v>2000</v>
      </c>
      <c r="Q24" s="49">
        <v>29.99</v>
      </c>
      <c r="R24" s="11">
        <v>59980</v>
      </c>
      <c r="S24" s="48">
        <f t="shared" si="3"/>
        <v>59980</v>
      </c>
    </row>
    <row r="25" spans="2:19" ht="128.1" customHeight="1">
      <c r="B25" s="42"/>
      <c r="C25" s="39" t="s">
        <v>28</v>
      </c>
      <c r="D25" s="2">
        <v>583616</v>
      </c>
      <c r="E25" s="3" t="s">
        <v>29</v>
      </c>
      <c r="F25" s="3" t="s">
        <v>30</v>
      </c>
      <c r="G25" s="6" t="s">
        <v>69</v>
      </c>
      <c r="H25" s="6" t="s">
        <v>16</v>
      </c>
      <c r="I25" s="6" t="s">
        <v>16</v>
      </c>
      <c r="J25" s="6" t="s">
        <v>16</v>
      </c>
      <c r="K25" s="6">
        <f>150+540+18</f>
        <v>708</v>
      </c>
      <c r="L25" s="6">
        <f>150+360+42</f>
        <v>552</v>
      </c>
      <c r="M25" s="6">
        <f>150+126+39</f>
        <v>315</v>
      </c>
      <c r="N25" s="6"/>
      <c r="O25" s="8"/>
      <c r="P25" s="45">
        <v>1575</v>
      </c>
      <c r="Q25" s="49">
        <v>19.989999999999998</v>
      </c>
      <c r="R25" s="11">
        <v>31484.249999999996</v>
      </c>
      <c r="S25" s="48">
        <f t="shared" si="3"/>
        <v>31484.249999999996</v>
      </c>
    </row>
    <row r="26" spans="2:19" ht="128.1" customHeight="1">
      <c r="B26" s="42"/>
      <c r="C26" s="39" t="s">
        <v>28</v>
      </c>
      <c r="D26" s="2">
        <v>583616</v>
      </c>
      <c r="E26" s="3" t="s">
        <v>31</v>
      </c>
      <c r="F26" s="3" t="s">
        <v>32</v>
      </c>
      <c r="G26" s="6" t="s">
        <v>69</v>
      </c>
      <c r="H26" s="6" t="s">
        <v>16</v>
      </c>
      <c r="I26" s="6" t="s">
        <v>16</v>
      </c>
      <c r="J26" s="6" t="s">
        <v>16</v>
      </c>
      <c r="K26" s="6">
        <f>150+282+43</f>
        <v>475</v>
      </c>
      <c r="L26" s="6">
        <f>150+180+39</f>
        <v>369</v>
      </c>
      <c r="M26" s="6">
        <f>150+30+26</f>
        <v>206</v>
      </c>
      <c r="N26" s="6"/>
      <c r="O26" s="8"/>
      <c r="P26" s="45">
        <v>1050</v>
      </c>
      <c r="Q26" s="49">
        <v>19.989999999999998</v>
      </c>
      <c r="R26" s="11">
        <v>20989.5</v>
      </c>
      <c r="S26" s="48">
        <f t="shared" si="3"/>
        <v>20989.5</v>
      </c>
    </row>
    <row r="27" spans="2:19" ht="128.1" customHeight="1">
      <c r="B27" s="42"/>
      <c r="C27" s="39" t="s">
        <v>33</v>
      </c>
      <c r="D27" s="2">
        <v>583245</v>
      </c>
      <c r="E27" s="3" t="s">
        <v>21</v>
      </c>
      <c r="F27" s="3" t="s">
        <v>23</v>
      </c>
      <c r="G27" s="6" t="s">
        <v>69</v>
      </c>
      <c r="H27" s="6" t="s">
        <v>16</v>
      </c>
      <c r="I27" s="6">
        <v>450</v>
      </c>
      <c r="J27" s="6">
        <v>600</v>
      </c>
      <c r="K27" s="6">
        <f>150+750</f>
        <v>900</v>
      </c>
      <c r="L27" s="6">
        <f>150+450</f>
        <v>600</v>
      </c>
      <c r="M27" s="6">
        <f>150+300</f>
        <v>450</v>
      </c>
      <c r="N27" s="6"/>
      <c r="O27" s="8"/>
      <c r="P27" s="45">
        <v>3000</v>
      </c>
      <c r="Q27" s="49">
        <v>35.99</v>
      </c>
      <c r="R27" s="11">
        <v>107970</v>
      </c>
      <c r="S27" s="48">
        <f t="shared" si="3"/>
        <v>107970</v>
      </c>
    </row>
    <row r="28" spans="2:19" ht="110.1" customHeight="1">
      <c r="B28" s="42"/>
      <c r="C28" s="39" t="s">
        <v>34</v>
      </c>
      <c r="D28" s="2">
        <v>582936</v>
      </c>
      <c r="E28" s="3" t="s">
        <v>35</v>
      </c>
      <c r="F28" s="3" t="s">
        <v>36</v>
      </c>
      <c r="G28" s="6" t="s">
        <v>70</v>
      </c>
      <c r="H28" s="6" t="s">
        <v>16</v>
      </c>
      <c r="I28" s="6" t="s">
        <v>16</v>
      </c>
      <c r="J28" s="6">
        <f>150+180</f>
        <v>330</v>
      </c>
      <c r="K28" s="6">
        <f>150+180+14</f>
        <v>344</v>
      </c>
      <c r="L28" s="6">
        <f>150+240+14</f>
        <v>404</v>
      </c>
      <c r="M28" s="6">
        <f>150+60+15</f>
        <v>225</v>
      </c>
      <c r="N28" s="6">
        <f>151</f>
        <v>151</v>
      </c>
      <c r="O28" s="8">
        <v>106</v>
      </c>
      <c r="P28" s="45">
        <v>1560</v>
      </c>
      <c r="Q28" s="49">
        <v>35.99</v>
      </c>
      <c r="R28" s="11">
        <v>56144.4</v>
      </c>
      <c r="S28" s="48">
        <f t="shared" si="3"/>
        <v>56144.4</v>
      </c>
    </row>
    <row r="29" spans="2:19" ht="110.1" customHeight="1">
      <c r="B29" s="42"/>
      <c r="C29" s="39" t="s">
        <v>34</v>
      </c>
      <c r="D29" s="2">
        <v>582761</v>
      </c>
      <c r="E29" s="3" t="s">
        <v>37</v>
      </c>
      <c r="F29" s="3" t="s">
        <v>36</v>
      </c>
      <c r="G29" s="6" t="s">
        <v>70</v>
      </c>
      <c r="H29" s="6" t="s">
        <v>16</v>
      </c>
      <c r="I29" s="6" t="s">
        <v>16</v>
      </c>
      <c r="J29" s="6">
        <f>150+203</f>
        <v>353</v>
      </c>
      <c r="K29" s="6">
        <f>150+104</f>
        <v>254</v>
      </c>
      <c r="L29" s="6">
        <f>150+154</f>
        <v>304</v>
      </c>
      <c r="M29" s="6">
        <f>150+18</f>
        <v>168</v>
      </c>
      <c r="N29" s="6">
        <f>150+4</f>
        <v>154</v>
      </c>
      <c r="O29" s="8">
        <v>111</v>
      </c>
      <c r="P29" s="45">
        <v>1344</v>
      </c>
      <c r="Q29" s="49">
        <v>35.99</v>
      </c>
      <c r="R29" s="11">
        <v>48370.560000000005</v>
      </c>
      <c r="S29" s="48">
        <f t="shared" si="3"/>
        <v>48370.560000000005</v>
      </c>
    </row>
    <row r="30" spans="2:19" ht="110.1" customHeight="1">
      <c r="B30" s="42"/>
      <c r="C30" s="39" t="s">
        <v>34</v>
      </c>
      <c r="D30" s="2">
        <v>583413</v>
      </c>
      <c r="E30" s="3" t="s">
        <v>24</v>
      </c>
      <c r="F30" s="3" t="s">
        <v>36</v>
      </c>
      <c r="G30" s="6" t="s">
        <v>70</v>
      </c>
      <c r="H30" s="6" t="s">
        <v>16</v>
      </c>
      <c r="I30" s="6" t="s">
        <v>16</v>
      </c>
      <c r="J30" s="6">
        <v>486</v>
      </c>
      <c r="K30" s="6">
        <v>442</v>
      </c>
      <c r="L30" s="6">
        <v>439</v>
      </c>
      <c r="M30" s="6">
        <v>211</v>
      </c>
      <c r="N30" s="6">
        <v>181</v>
      </c>
      <c r="O30" s="8">
        <v>124</v>
      </c>
      <c r="P30" s="45">
        <v>1883</v>
      </c>
      <c r="Q30" s="49">
        <v>35.99</v>
      </c>
      <c r="R30" s="11">
        <v>67769.17</v>
      </c>
      <c r="S30" s="48">
        <f t="shared" si="3"/>
        <v>67769.17</v>
      </c>
    </row>
    <row r="31" spans="2:19" ht="30.95" customHeight="1">
      <c r="B31" s="71"/>
      <c r="C31" s="39" t="s">
        <v>62</v>
      </c>
      <c r="D31" s="2">
        <v>583093</v>
      </c>
      <c r="E31" s="3" t="s">
        <v>29</v>
      </c>
      <c r="F31" s="3" t="s">
        <v>63</v>
      </c>
      <c r="G31" s="6" t="s">
        <v>70</v>
      </c>
      <c r="H31" s="6"/>
      <c r="I31" s="6">
        <v>350</v>
      </c>
      <c r="J31" s="6">
        <v>650</v>
      </c>
      <c r="K31" s="6">
        <v>350</v>
      </c>
      <c r="L31" s="6">
        <v>150</v>
      </c>
      <c r="M31" s="6"/>
      <c r="N31" s="6"/>
      <c r="O31" s="8"/>
      <c r="P31" s="45">
        <v>1500</v>
      </c>
      <c r="Q31" s="49">
        <v>15.99</v>
      </c>
      <c r="R31" s="11">
        <v>23985</v>
      </c>
      <c r="S31" s="48">
        <f t="shared" si="3"/>
        <v>23985</v>
      </c>
    </row>
    <row r="32" spans="2:19" ht="30.95" customHeight="1">
      <c r="B32" s="72"/>
      <c r="C32" s="39" t="s">
        <v>62</v>
      </c>
      <c r="D32" s="2">
        <v>583093</v>
      </c>
      <c r="E32" s="3" t="s">
        <v>64</v>
      </c>
      <c r="F32" s="3" t="s">
        <v>63</v>
      </c>
      <c r="G32" s="6" t="s">
        <v>70</v>
      </c>
      <c r="H32" s="6"/>
      <c r="I32" s="6">
        <v>350</v>
      </c>
      <c r="J32" s="6">
        <v>650</v>
      </c>
      <c r="K32" s="6">
        <v>350</v>
      </c>
      <c r="L32" s="6">
        <v>150</v>
      </c>
      <c r="M32" s="6"/>
      <c r="N32" s="6"/>
      <c r="O32" s="8"/>
      <c r="P32" s="45">
        <v>1500</v>
      </c>
      <c r="Q32" s="49">
        <v>15.99</v>
      </c>
      <c r="R32" s="11">
        <v>23985</v>
      </c>
      <c r="S32" s="48">
        <f t="shared" si="3"/>
        <v>23985</v>
      </c>
    </row>
    <row r="33" spans="2:19" ht="30.95" customHeight="1">
      <c r="B33" s="72"/>
      <c r="C33" s="39" t="s">
        <v>62</v>
      </c>
      <c r="D33" s="2">
        <v>583095</v>
      </c>
      <c r="E33" s="3" t="s">
        <v>29</v>
      </c>
      <c r="F33" s="3" t="s">
        <v>63</v>
      </c>
      <c r="G33" s="6" t="s">
        <v>70</v>
      </c>
      <c r="H33" s="6"/>
      <c r="I33" s="6"/>
      <c r="J33" s="6">
        <v>20</v>
      </c>
      <c r="K33" s="6">
        <v>20</v>
      </c>
      <c r="L33" s="6">
        <v>20</v>
      </c>
      <c r="M33" s="6"/>
      <c r="N33" s="6"/>
      <c r="O33" s="8"/>
      <c r="P33" s="45">
        <v>60</v>
      </c>
      <c r="Q33" s="49">
        <v>15.99</v>
      </c>
      <c r="R33" s="11">
        <v>959.4</v>
      </c>
      <c r="S33" s="48">
        <f t="shared" si="3"/>
        <v>959.4</v>
      </c>
    </row>
    <row r="34" spans="2:19" ht="30.95" customHeight="1">
      <c r="B34" s="73"/>
      <c r="C34" s="39" t="s">
        <v>62</v>
      </c>
      <c r="D34" s="2">
        <v>583095</v>
      </c>
      <c r="E34" s="3" t="s">
        <v>64</v>
      </c>
      <c r="F34" s="3" t="s">
        <v>63</v>
      </c>
      <c r="G34" s="6" t="s">
        <v>70</v>
      </c>
      <c r="H34" s="6"/>
      <c r="I34" s="6"/>
      <c r="J34" s="6">
        <v>20</v>
      </c>
      <c r="K34" s="6">
        <v>20</v>
      </c>
      <c r="L34" s="6">
        <v>20</v>
      </c>
      <c r="M34" s="6"/>
      <c r="N34" s="6"/>
      <c r="O34" s="8"/>
      <c r="P34" s="45">
        <v>60</v>
      </c>
      <c r="Q34" s="49">
        <v>15.99</v>
      </c>
      <c r="R34" s="11">
        <v>959.4</v>
      </c>
      <c r="S34" s="48">
        <f t="shared" si="3"/>
        <v>959.4</v>
      </c>
    </row>
    <row r="35" spans="2:19" ht="110.1" customHeight="1">
      <c r="B35" s="42"/>
      <c r="C35" s="39" t="s">
        <v>38</v>
      </c>
      <c r="D35" s="2">
        <v>583752</v>
      </c>
      <c r="E35" s="3" t="s">
        <v>39</v>
      </c>
      <c r="F35" s="3" t="s">
        <v>40</v>
      </c>
      <c r="G35" s="6" t="s">
        <v>70</v>
      </c>
      <c r="H35" s="6" t="s">
        <v>16</v>
      </c>
      <c r="I35" s="6" t="s">
        <v>16</v>
      </c>
      <c r="J35" s="6">
        <f>140+110</f>
        <v>250</v>
      </c>
      <c r="K35" s="6">
        <f>140+260</f>
        <v>400</v>
      </c>
      <c r="L35" s="6">
        <f>140+92+18</f>
        <v>250</v>
      </c>
      <c r="M35" s="6">
        <f>100</f>
        <v>100</v>
      </c>
      <c r="N35" s="6" t="s">
        <v>16</v>
      </c>
      <c r="O35" s="8" t="s">
        <v>16</v>
      </c>
      <c r="P35" s="45">
        <v>1000</v>
      </c>
      <c r="Q35" s="49">
        <v>17.989999999999998</v>
      </c>
      <c r="R35" s="11">
        <v>17990</v>
      </c>
      <c r="S35" s="48">
        <f t="shared" si="3"/>
        <v>17990</v>
      </c>
    </row>
    <row r="36" spans="2:19" ht="126" customHeight="1">
      <c r="B36" s="42"/>
      <c r="C36" s="39" t="s">
        <v>41</v>
      </c>
      <c r="D36" s="2">
        <v>583751</v>
      </c>
      <c r="E36" s="3" t="s">
        <v>39</v>
      </c>
      <c r="F36" s="3" t="s">
        <v>40</v>
      </c>
      <c r="G36" s="6" t="s">
        <v>70</v>
      </c>
      <c r="H36" s="6" t="s">
        <v>16</v>
      </c>
      <c r="I36" s="6" t="s">
        <v>16</v>
      </c>
      <c r="J36" s="6">
        <f>140+84+26</f>
        <v>250</v>
      </c>
      <c r="K36" s="6">
        <f>140+252+8</f>
        <v>400</v>
      </c>
      <c r="L36" s="6">
        <f>140+80+30</f>
        <v>250</v>
      </c>
      <c r="M36" s="6">
        <v>100</v>
      </c>
      <c r="N36" s="6" t="s">
        <v>16</v>
      </c>
      <c r="O36" s="8" t="s">
        <v>16</v>
      </c>
      <c r="P36" s="45">
        <v>1000</v>
      </c>
      <c r="Q36" s="49">
        <v>19.989999999999998</v>
      </c>
      <c r="R36" s="11">
        <v>19990</v>
      </c>
      <c r="S36" s="48">
        <f t="shared" si="3"/>
        <v>19990</v>
      </c>
    </row>
    <row r="37" spans="2:19" ht="110.1" customHeight="1">
      <c r="B37" s="42"/>
      <c r="C37" s="39" t="s">
        <v>41</v>
      </c>
      <c r="D37" s="2">
        <v>583751</v>
      </c>
      <c r="E37" s="3" t="s">
        <v>10</v>
      </c>
      <c r="F37" s="3" t="s">
        <v>40</v>
      </c>
      <c r="G37" s="6" t="s">
        <v>70</v>
      </c>
      <c r="H37" s="6" t="s">
        <v>16</v>
      </c>
      <c r="I37" s="6" t="s">
        <v>16</v>
      </c>
      <c r="J37" s="6">
        <f>140+84+26</f>
        <v>250</v>
      </c>
      <c r="K37" s="6">
        <f>140+252+8</f>
        <v>400</v>
      </c>
      <c r="L37" s="6">
        <f>80+30+140</f>
        <v>250</v>
      </c>
      <c r="M37" s="6">
        <v>100</v>
      </c>
      <c r="N37" s="6" t="s">
        <v>16</v>
      </c>
      <c r="O37" s="8" t="s">
        <v>16</v>
      </c>
      <c r="P37" s="45">
        <v>1000</v>
      </c>
      <c r="Q37" s="49">
        <v>19.989999999999998</v>
      </c>
      <c r="R37" s="11">
        <v>19990</v>
      </c>
      <c r="S37" s="48">
        <f t="shared" si="3"/>
        <v>19990</v>
      </c>
    </row>
    <row r="38" spans="2:19" ht="120" customHeight="1">
      <c r="B38" s="42"/>
      <c r="C38" s="39" t="s">
        <v>42</v>
      </c>
      <c r="D38" s="2">
        <v>583546</v>
      </c>
      <c r="E38" s="3" t="s">
        <v>43</v>
      </c>
      <c r="F38" s="3" t="s">
        <v>44</v>
      </c>
      <c r="G38" s="6" t="s">
        <v>70</v>
      </c>
      <c r="H38" s="6" t="s">
        <v>16</v>
      </c>
      <c r="I38" s="6">
        <f>150+135+9</f>
        <v>294</v>
      </c>
      <c r="J38" s="6">
        <f>150+300+4</f>
        <v>454</v>
      </c>
      <c r="K38" s="6">
        <f>225+13+150</f>
        <v>388</v>
      </c>
      <c r="L38" s="6">
        <f>165+4+150</f>
        <v>319</v>
      </c>
      <c r="M38" s="6">
        <f>225+9</f>
        <v>234</v>
      </c>
      <c r="N38" s="6">
        <f>155</f>
        <v>155</v>
      </c>
      <c r="O38" s="8">
        <f>105+9</f>
        <v>114</v>
      </c>
      <c r="P38" s="45">
        <v>1958</v>
      </c>
      <c r="Q38" s="49">
        <v>29.99</v>
      </c>
      <c r="R38" s="11">
        <v>58720.42</v>
      </c>
      <c r="S38" s="48">
        <f t="shared" si="3"/>
        <v>58720.42</v>
      </c>
    </row>
    <row r="39" spans="2:19" ht="116.1" customHeight="1">
      <c r="B39" s="42"/>
      <c r="C39" s="39" t="s">
        <v>45</v>
      </c>
      <c r="D39" s="2">
        <v>583549</v>
      </c>
      <c r="E39" s="3" t="s">
        <v>24</v>
      </c>
      <c r="F39" s="3" t="s">
        <v>44</v>
      </c>
      <c r="G39" s="6" t="s">
        <v>70</v>
      </c>
      <c r="H39" s="6" t="s">
        <v>16</v>
      </c>
      <c r="I39" s="6">
        <f>150+210+19</f>
        <v>379</v>
      </c>
      <c r="J39" s="6">
        <f>405+11+150</f>
        <v>566</v>
      </c>
      <c r="K39" s="6">
        <f>315+13+150</f>
        <v>478</v>
      </c>
      <c r="L39" s="6">
        <f>150+247</f>
        <v>397</v>
      </c>
      <c r="M39" s="6">
        <f>135+13+150</f>
        <v>298</v>
      </c>
      <c r="N39" s="6">
        <f>180+12</f>
        <v>192</v>
      </c>
      <c r="O39" s="8">
        <f>135+15</f>
        <v>150</v>
      </c>
      <c r="P39" s="45">
        <v>2460</v>
      </c>
      <c r="Q39" s="49">
        <v>29.99</v>
      </c>
      <c r="R39" s="11">
        <v>73775.399999999994</v>
      </c>
      <c r="S39" s="48">
        <f t="shared" si="3"/>
        <v>73775.399999999994</v>
      </c>
    </row>
    <row r="40" spans="2:19" ht="110.1" customHeight="1">
      <c r="B40" s="42"/>
      <c r="C40" s="39" t="s">
        <v>46</v>
      </c>
      <c r="D40" s="2">
        <v>583197</v>
      </c>
      <c r="E40" s="3" t="s">
        <v>24</v>
      </c>
      <c r="F40" s="3" t="s">
        <v>47</v>
      </c>
      <c r="G40" s="6" t="s">
        <v>70</v>
      </c>
      <c r="H40" s="6" t="s">
        <v>16</v>
      </c>
      <c r="I40" s="6" t="s">
        <v>16</v>
      </c>
      <c r="J40" s="6">
        <f>250+420+29</f>
        <v>699</v>
      </c>
      <c r="K40" s="6">
        <f>250+420+22</f>
        <v>692</v>
      </c>
      <c r="L40" s="6">
        <f t="shared" ref="L40:L43" si="4">250+360</f>
        <v>610</v>
      </c>
      <c r="M40" s="6">
        <f>250+120</f>
        <v>370</v>
      </c>
      <c r="N40" s="6">
        <f>180+23</f>
        <v>203</v>
      </c>
      <c r="O40" s="8" t="s">
        <v>16</v>
      </c>
      <c r="P40" s="45">
        <v>2574</v>
      </c>
      <c r="Q40" s="49">
        <v>17.989999999999998</v>
      </c>
      <c r="R40" s="11">
        <v>46306.259999999995</v>
      </c>
      <c r="S40" s="48">
        <f t="shared" si="3"/>
        <v>46306.259999999995</v>
      </c>
    </row>
    <row r="41" spans="2:19" ht="110.1" customHeight="1">
      <c r="B41" s="42"/>
      <c r="C41" s="39" t="s">
        <v>46</v>
      </c>
      <c r="D41" s="2">
        <v>583197</v>
      </c>
      <c r="E41" s="3" t="s">
        <v>19</v>
      </c>
      <c r="F41" s="3" t="s">
        <v>47</v>
      </c>
      <c r="G41" s="6" t="s">
        <v>70</v>
      </c>
      <c r="H41" s="6" t="s">
        <v>16</v>
      </c>
      <c r="I41" s="6" t="s">
        <v>16</v>
      </c>
      <c r="J41" s="6">
        <f>250+420+29</f>
        <v>699</v>
      </c>
      <c r="K41" s="6">
        <f>250+420+26</f>
        <v>696</v>
      </c>
      <c r="L41" s="6">
        <f t="shared" si="4"/>
        <v>610</v>
      </c>
      <c r="M41" s="6">
        <f>250+120</f>
        <v>370</v>
      </c>
      <c r="N41" s="6">
        <f>180+25</f>
        <v>205</v>
      </c>
      <c r="O41" s="8" t="s">
        <v>16</v>
      </c>
      <c r="P41" s="45">
        <v>2580</v>
      </c>
      <c r="Q41" s="49">
        <v>17.989999999999998</v>
      </c>
      <c r="R41" s="11">
        <v>46414.2</v>
      </c>
      <c r="S41" s="48">
        <f t="shared" si="3"/>
        <v>46414.2</v>
      </c>
    </row>
    <row r="42" spans="2:19" ht="110.1" customHeight="1">
      <c r="B42" s="42"/>
      <c r="C42" s="39" t="s">
        <v>48</v>
      </c>
      <c r="D42" s="2">
        <v>583195</v>
      </c>
      <c r="E42" s="3" t="s">
        <v>24</v>
      </c>
      <c r="F42" s="3" t="s">
        <v>47</v>
      </c>
      <c r="G42" s="6" t="s">
        <v>70</v>
      </c>
      <c r="H42" s="6" t="s">
        <v>16</v>
      </c>
      <c r="I42" s="6" t="s">
        <v>16</v>
      </c>
      <c r="J42" s="6">
        <f>250+400+31</f>
        <v>681</v>
      </c>
      <c r="K42" s="6">
        <f>250+400+29</f>
        <v>679</v>
      </c>
      <c r="L42" s="6">
        <f>250+320+9</f>
        <v>579</v>
      </c>
      <c r="M42" s="6">
        <f>250+120+21</f>
        <v>391</v>
      </c>
      <c r="N42" s="6">
        <v>212</v>
      </c>
      <c r="O42" s="8" t="s">
        <v>16</v>
      </c>
      <c r="P42" s="45">
        <v>2542</v>
      </c>
      <c r="Q42" s="49">
        <v>25.99</v>
      </c>
      <c r="R42" s="11">
        <v>66066.58</v>
      </c>
      <c r="S42" s="48">
        <f t="shared" si="3"/>
        <v>66066.58</v>
      </c>
    </row>
    <row r="43" spans="2:19" ht="110.1" customHeight="1">
      <c r="B43" s="42"/>
      <c r="C43" s="39" t="s">
        <v>48</v>
      </c>
      <c r="D43" s="2">
        <v>583195</v>
      </c>
      <c r="E43" s="3" t="s">
        <v>19</v>
      </c>
      <c r="F43" s="3" t="s">
        <v>47</v>
      </c>
      <c r="G43" s="6" t="s">
        <v>70</v>
      </c>
      <c r="H43" s="6" t="s">
        <v>16</v>
      </c>
      <c r="I43" s="6" t="s">
        <v>16</v>
      </c>
      <c r="J43" s="6">
        <f>250+400+39</f>
        <v>689</v>
      </c>
      <c r="K43" s="6">
        <f>250+400+34</f>
        <v>684</v>
      </c>
      <c r="L43" s="6">
        <f t="shared" si="4"/>
        <v>610</v>
      </c>
      <c r="M43" s="6">
        <f>250+80+33</f>
        <v>363</v>
      </c>
      <c r="N43" s="6">
        <v>207</v>
      </c>
      <c r="O43" s="8" t="s">
        <v>16</v>
      </c>
      <c r="P43" s="45">
        <v>2553</v>
      </c>
      <c r="Q43" s="49">
        <v>25.99</v>
      </c>
      <c r="R43" s="11">
        <v>66352.47</v>
      </c>
      <c r="S43" s="48">
        <f t="shared" si="3"/>
        <v>66352.47</v>
      </c>
    </row>
    <row r="44" spans="2:19" ht="110.1" customHeight="1">
      <c r="B44" s="42"/>
      <c r="C44" s="39" t="s">
        <v>49</v>
      </c>
      <c r="D44" s="2">
        <v>583447</v>
      </c>
      <c r="E44" s="3" t="s">
        <v>24</v>
      </c>
      <c r="F44" s="3" t="s">
        <v>47</v>
      </c>
      <c r="G44" s="6" t="s">
        <v>70</v>
      </c>
      <c r="H44" s="6" t="s">
        <v>16</v>
      </c>
      <c r="I44" s="6" t="s">
        <v>16</v>
      </c>
      <c r="J44" s="6" t="s">
        <v>16</v>
      </c>
      <c r="K44" s="6">
        <f>150+7+440</f>
        <v>597</v>
      </c>
      <c r="L44" s="6">
        <f>150+360+11</f>
        <v>521</v>
      </c>
      <c r="M44" s="6">
        <f>150+200+22</f>
        <v>372</v>
      </c>
      <c r="N44" s="6" t="s">
        <v>16</v>
      </c>
      <c r="O44" s="8" t="s">
        <v>16</v>
      </c>
      <c r="P44" s="45">
        <v>1490</v>
      </c>
      <c r="Q44" s="49">
        <v>29.99</v>
      </c>
      <c r="R44" s="11">
        <v>44685.1</v>
      </c>
      <c r="S44" s="48">
        <f t="shared" si="3"/>
        <v>44685.1</v>
      </c>
    </row>
    <row r="45" spans="2:19" ht="110.1" customHeight="1">
      <c r="B45" s="42"/>
      <c r="C45" s="39" t="s">
        <v>49</v>
      </c>
      <c r="D45" s="2">
        <v>583447</v>
      </c>
      <c r="E45" s="3" t="s">
        <v>19</v>
      </c>
      <c r="F45" s="3" t="s">
        <v>47</v>
      </c>
      <c r="G45" s="6" t="s">
        <v>70</v>
      </c>
      <c r="H45" s="6" t="s">
        <v>16</v>
      </c>
      <c r="I45" s="6" t="s">
        <v>16</v>
      </c>
      <c r="J45" s="6" t="s">
        <v>16</v>
      </c>
      <c r="K45" s="6">
        <f>150+440+11</f>
        <v>601</v>
      </c>
      <c r="L45" s="6">
        <f>150+360+12</f>
        <v>522</v>
      </c>
      <c r="M45" s="6">
        <f>150+200+24</f>
        <v>374</v>
      </c>
      <c r="N45" s="6" t="s">
        <v>16</v>
      </c>
      <c r="O45" s="8" t="s">
        <v>16</v>
      </c>
      <c r="P45" s="45">
        <v>1497</v>
      </c>
      <c r="Q45" s="49">
        <v>29.99</v>
      </c>
      <c r="R45" s="11">
        <v>44895.03</v>
      </c>
      <c r="S45" s="48">
        <f t="shared" si="3"/>
        <v>44895.03</v>
      </c>
    </row>
    <row r="46" spans="2:19" ht="99" customHeight="1">
      <c r="B46" s="42"/>
      <c r="C46" s="39" t="s">
        <v>58</v>
      </c>
      <c r="D46" s="2">
        <v>584206</v>
      </c>
      <c r="E46" s="3" t="s">
        <v>19</v>
      </c>
      <c r="F46" s="4" t="s">
        <v>20</v>
      </c>
      <c r="G46" s="6" t="s">
        <v>70</v>
      </c>
      <c r="H46" s="6" t="s">
        <v>16</v>
      </c>
      <c r="I46" s="6" t="s">
        <v>16</v>
      </c>
      <c r="J46" s="6">
        <f>163+30</f>
        <v>193</v>
      </c>
      <c r="K46" s="6">
        <f>132+30</f>
        <v>162</v>
      </c>
      <c r="L46" s="6">
        <f>126+30</f>
        <v>156</v>
      </c>
      <c r="M46" s="6">
        <f>76+30</f>
        <v>106</v>
      </c>
      <c r="N46" s="6">
        <f>53+30</f>
        <v>83</v>
      </c>
      <c r="O46" s="8" t="s">
        <v>16</v>
      </c>
      <c r="P46" s="45">
        <v>700</v>
      </c>
      <c r="Q46" s="49">
        <v>29.99</v>
      </c>
      <c r="R46" s="11">
        <v>20993</v>
      </c>
      <c r="S46" s="48">
        <f t="shared" si="3"/>
        <v>20993</v>
      </c>
    </row>
    <row r="47" spans="2:19" ht="114.95" customHeight="1">
      <c r="B47" s="42"/>
      <c r="C47" s="39" t="s">
        <v>58</v>
      </c>
      <c r="D47" s="2">
        <v>583767</v>
      </c>
      <c r="E47" s="3" t="s">
        <v>21</v>
      </c>
      <c r="F47" s="4" t="s">
        <v>20</v>
      </c>
      <c r="G47" s="6" t="s">
        <v>70</v>
      </c>
      <c r="H47" s="6" t="s">
        <v>16</v>
      </c>
      <c r="I47" s="6" t="s">
        <v>16</v>
      </c>
      <c r="J47" s="6">
        <f>150+546+30</f>
        <v>726</v>
      </c>
      <c r="K47" s="6">
        <f>150+410+39</f>
        <v>599</v>
      </c>
      <c r="L47" s="6">
        <f>150+390+38</f>
        <v>578</v>
      </c>
      <c r="M47" s="6">
        <f>150+216+29</f>
        <v>395</v>
      </c>
      <c r="N47" s="6">
        <f>150+140+30</f>
        <v>320</v>
      </c>
      <c r="O47" s="8" t="s">
        <v>16</v>
      </c>
      <c r="P47" s="45">
        <v>2618</v>
      </c>
      <c r="Q47" s="49">
        <v>29.99</v>
      </c>
      <c r="R47" s="11">
        <v>78513.819999999992</v>
      </c>
      <c r="S47" s="48">
        <f t="shared" si="3"/>
        <v>78513.819999999992</v>
      </c>
    </row>
    <row r="48" spans="2:19" ht="114.95" customHeight="1">
      <c r="B48" s="42"/>
      <c r="C48" s="39" t="s">
        <v>58</v>
      </c>
      <c r="D48" s="2">
        <v>583767</v>
      </c>
      <c r="E48" s="3" t="s">
        <v>25</v>
      </c>
      <c r="F48" s="4" t="s">
        <v>20</v>
      </c>
      <c r="G48" s="6" t="s">
        <v>70</v>
      </c>
      <c r="H48" s="6" t="s">
        <v>16</v>
      </c>
      <c r="I48" s="6" t="s">
        <v>16</v>
      </c>
      <c r="J48" s="6">
        <f>150+240+34</f>
        <v>424</v>
      </c>
      <c r="K48" s="6">
        <f>150+164+37</f>
        <v>351</v>
      </c>
      <c r="L48" s="6">
        <f>150+152+34</f>
        <v>336</v>
      </c>
      <c r="M48" s="6">
        <f>150+41+41</f>
        <v>232</v>
      </c>
      <c r="N48" s="6">
        <f>150+31</f>
        <v>181</v>
      </c>
      <c r="O48" s="8" t="s">
        <v>16</v>
      </c>
      <c r="P48" s="45">
        <v>1524</v>
      </c>
      <c r="Q48" s="49">
        <v>29.99</v>
      </c>
      <c r="R48" s="11">
        <v>45704.759999999995</v>
      </c>
      <c r="S48" s="48">
        <f t="shared" si="3"/>
        <v>45704.759999999995</v>
      </c>
    </row>
    <row r="49" spans="2:19" ht="114.95" customHeight="1">
      <c r="B49" s="42"/>
      <c r="C49" s="39" t="s">
        <v>59</v>
      </c>
      <c r="D49" s="2">
        <v>582964</v>
      </c>
      <c r="E49" s="3" t="s">
        <v>57</v>
      </c>
      <c r="F49" s="3" t="s">
        <v>60</v>
      </c>
      <c r="G49" s="6" t="s">
        <v>70</v>
      </c>
      <c r="H49" s="6" t="s">
        <v>16</v>
      </c>
      <c r="I49" s="6" t="s">
        <v>16</v>
      </c>
      <c r="J49" s="6">
        <f>150+180+16</f>
        <v>346</v>
      </c>
      <c r="K49" s="6">
        <f>150+126+13</f>
        <v>289</v>
      </c>
      <c r="L49" s="6">
        <f>150+40+10</f>
        <v>200</v>
      </c>
      <c r="M49" s="6">
        <v>93</v>
      </c>
      <c r="N49" s="6">
        <v>48</v>
      </c>
      <c r="O49" s="8" t="s">
        <v>16</v>
      </c>
      <c r="P49" s="45">
        <v>976</v>
      </c>
      <c r="Q49" s="49">
        <v>29.99</v>
      </c>
      <c r="R49" s="11">
        <v>29270.239999999998</v>
      </c>
      <c r="S49" s="48">
        <f t="shared" si="3"/>
        <v>29270.239999999998</v>
      </c>
    </row>
    <row r="50" spans="2:19" ht="99" customHeight="1">
      <c r="B50" s="42"/>
      <c r="C50" s="39" t="s">
        <v>50</v>
      </c>
      <c r="D50" s="2">
        <v>583800</v>
      </c>
      <c r="E50" s="4" t="s">
        <v>39</v>
      </c>
      <c r="F50" s="4" t="s">
        <v>51</v>
      </c>
      <c r="G50" s="6" t="s">
        <v>70</v>
      </c>
      <c r="H50" s="9">
        <f>280+22</f>
        <v>302</v>
      </c>
      <c r="I50" s="9">
        <f>250+259+36</f>
        <v>545</v>
      </c>
      <c r="J50" s="9">
        <f>250+259+32</f>
        <v>541</v>
      </c>
      <c r="K50" s="9">
        <f>259+25+250</f>
        <v>534</v>
      </c>
      <c r="L50" s="9">
        <f>250+80+30</f>
        <v>360</v>
      </c>
      <c r="M50" s="9">
        <f>280+22</f>
        <v>302</v>
      </c>
      <c r="N50" s="9">
        <f>240+25</f>
        <v>265</v>
      </c>
      <c r="O50" s="10">
        <f>120+34</f>
        <v>154</v>
      </c>
      <c r="P50" s="45">
        <f t="shared" ref="P50:P57" si="5">H50+I50+J50+K50+L50+M50+N50+O50</f>
        <v>3003</v>
      </c>
      <c r="Q50" s="49">
        <v>15.99</v>
      </c>
      <c r="R50" s="11">
        <v>48017.97</v>
      </c>
      <c r="S50" s="48">
        <f t="shared" si="3"/>
        <v>48017.97</v>
      </c>
    </row>
    <row r="51" spans="2:19" ht="99.95" customHeight="1">
      <c r="B51" s="42"/>
      <c r="C51" s="39" t="s">
        <v>50</v>
      </c>
      <c r="D51" s="2">
        <v>584367</v>
      </c>
      <c r="E51" s="4" t="s">
        <v>39</v>
      </c>
      <c r="F51" s="4" t="s">
        <v>51</v>
      </c>
      <c r="G51" s="6" t="s">
        <v>70</v>
      </c>
      <c r="H51" s="9">
        <v>200</v>
      </c>
      <c r="I51" s="9">
        <v>400</v>
      </c>
      <c r="J51" s="9">
        <v>440</v>
      </c>
      <c r="K51" s="9">
        <v>360</v>
      </c>
      <c r="L51" s="9">
        <v>280</v>
      </c>
      <c r="M51" s="9">
        <v>180</v>
      </c>
      <c r="N51" s="9">
        <v>100</v>
      </c>
      <c r="O51" s="10">
        <v>40</v>
      </c>
      <c r="P51" s="45">
        <f t="shared" si="5"/>
        <v>2000</v>
      </c>
      <c r="Q51" s="49">
        <v>15.99</v>
      </c>
      <c r="R51" s="11">
        <v>31980</v>
      </c>
      <c r="S51" s="48">
        <f t="shared" si="3"/>
        <v>31980</v>
      </c>
    </row>
    <row r="52" spans="2:19" ht="99" customHeight="1">
      <c r="B52" s="42"/>
      <c r="C52" s="39" t="s">
        <v>52</v>
      </c>
      <c r="D52" s="2">
        <v>583796</v>
      </c>
      <c r="E52" s="4" t="s">
        <v>43</v>
      </c>
      <c r="F52" s="4" t="s">
        <v>53</v>
      </c>
      <c r="G52" s="6" t="s">
        <v>70</v>
      </c>
      <c r="H52" s="9">
        <v>243</v>
      </c>
      <c r="I52" s="9">
        <f>250+259+28</f>
        <v>537</v>
      </c>
      <c r="J52" s="9">
        <f>250+259+18</f>
        <v>527</v>
      </c>
      <c r="K52" s="9">
        <f>250+259+16</f>
        <v>525</v>
      </c>
      <c r="L52" s="9">
        <f>250+80+32</f>
        <v>362</v>
      </c>
      <c r="M52" s="9">
        <f>264</f>
        <v>264</v>
      </c>
      <c r="N52" s="9">
        <f>240+31</f>
        <v>271</v>
      </c>
      <c r="O52" s="10">
        <v>133</v>
      </c>
      <c r="P52" s="45">
        <f t="shared" si="5"/>
        <v>2862</v>
      </c>
      <c r="Q52" s="49">
        <v>15.99</v>
      </c>
      <c r="R52" s="11">
        <v>45763.38</v>
      </c>
      <c r="S52" s="48">
        <f t="shared" si="3"/>
        <v>45763.38</v>
      </c>
    </row>
    <row r="53" spans="2:19" ht="99.95" customHeight="1">
      <c r="B53" s="42"/>
      <c r="C53" s="39" t="s">
        <v>52</v>
      </c>
      <c r="D53" s="2">
        <v>584371</v>
      </c>
      <c r="E53" s="4" t="s">
        <v>43</v>
      </c>
      <c r="F53" s="4" t="s">
        <v>53</v>
      </c>
      <c r="G53" s="6" t="s">
        <v>70</v>
      </c>
      <c r="H53" s="9">
        <v>246</v>
      </c>
      <c r="I53" s="9">
        <f>328+34</f>
        <v>362</v>
      </c>
      <c r="J53" s="9">
        <f>430</f>
        <v>430</v>
      </c>
      <c r="K53" s="9">
        <f>324</f>
        <v>324</v>
      </c>
      <c r="L53" s="9">
        <f>246+11</f>
        <v>257</v>
      </c>
      <c r="M53" s="9">
        <f>160+31</f>
        <v>191</v>
      </c>
      <c r="N53" s="9">
        <v>85</v>
      </c>
      <c r="O53" s="10">
        <v>41</v>
      </c>
      <c r="P53" s="45">
        <f t="shared" si="5"/>
        <v>1936</v>
      </c>
      <c r="Q53" s="49">
        <v>15.99</v>
      </c>
      <c r="R53" s="11">
        <v>30956.639999999999</v>
      </c>
      <c r="S53" s="48">
        <f t="shared" si="3"/>
        <v>30956.639999999999</v>
      </c>
    </row>
    <row r="54" spans="2:19" ht="99" customHeight="1">
      <c r="B54" s="42"/>
      <c r="C54" s="39" t="s">
        <v>54</v>
      </c>
      <c r="D54" s="2">
        <v>583839</v>
      </c>
      <c r="E54" s="4" t="s">
        <v>55</v>
      </c>
      <c r="F54" s="4" t="s">
        <v>51</v>
      </c>
      <c r="G54" s="6" t="s">
        <v>70</v>
      </c>
      <c r="H54" s="9">
        <v>297</v>
      </c>
      <c r="I54" s="9">
        <f>250+259+14</f>
        <v>523</v>
      </c>
      <c r="J54" s="9">
        <f>250+259+16</f>
        <v>525</v>
      </c>
      <c r="K54" s="9">
        <f>250+259+9</f>
        <v>518</v>
      </c>
      <c r="L54" s="9">
        <f>250+80+27</f>
        <v>357</v>
      </c>
      <c r="M54" s="9">
        <f>259+12</f>
        <v>271</v>
      </c>
      <c r="N54" s="9">
        <f>259</f>
        <v>259</v>
      </c>
      <c r="O54" s="10">
        <f>120+27</f>
        <v>147</v>
      </c>
      <c r="P54" s="45">
        <f t="shared" si="5"/>
        <v>2897</v>
      </c>
      <c r="Q54" s="49">
        <v>15.99</v>
      </c>
      <c r="R54" s="11">
        <v>46323.03</v>
      </c>
      <c r="S54" s="48">
        <f t="shared" si="3"/>
        <v>46323.03</v>
      </c>
    </row>
    <row r="55" spans="2:19" ht="99.95" customHeight="1">
      <c r="B55" s="42"/>
      <c r="C55" s="39" t="s">
        <v>54</v>
      </c>
      <c r="D55" s="2">
        <v>584373</v>
      </c>
      <c r="E55" s="4" t="s">
        <v>55</v>
      </c>
      <c r="F55" s="4" t="s">
        <v>51</v>
      </c>
      <c r="G55" s="6" t="s">
        <v>70</v>
      </c>
      <c r="H55" s="9">
        <v>192</v>
      </c>
      <c r="I55" s="9">
        <v>389</v>
      </c>
      <c r="J55" s="9">
        <f>410+32</f>
        <v>442</v>
      </c>
      <c r="K55" s="9">
        <f>328+27</f>
        <v>355</v>
      </c>
      <c r="L55" s="9">
        <f>246+30</f>
        <v>276</v>
      </c>
      <c r="M55" s="9">
        <f>160+21</f>
        <v>181</v>
      </c>
      <c r="N55" s="9">
        <f>100</f>
        <v>100</v>
      </c>
      <c r="O55" s="10">
        <v>41</v>
      </c>
      <c r="P55" s="45">
        <f t="shared" si="5"/>
        <v>1976</v>
      </c>
      <c r="Q55" s="49">
        <v>15.99</v>
      </c>
      <c r="R55" s="11">
        <v>31596.240000000002</v>
      </c>
      <c r="S55" s="48">
        <f t="shared" si="3"/>
        <v>31596.240000000002</v>
      </c>
    </row>
    <row r="56" spans="2:19" ht="99" customHeight="1">
      <c r="B56" s="42"/>
      <c r="C56" s="39" t="s">
        <v>56</v>
      </c>
      <c r="D56" s="2">
        <v>583802</v>
      </c>
      <c r="E56" s="4" t="s">
        <v>57</v>
      </c>
      <c r="F56" s="4" t="s">
        <v>53</v>
      </c>
      <c r="G56" s="6" t="s">
        <v>70</v>
      </c>
      <c r="H56" s="9">
        <f>280+25</f>
        <v>305</v>
      </c>
      <c r="I56" s="9">
        <f>259+33+250</f>
        <v>542</v>
      </c>
      <c r="J56" s="9">
        <f>259+33+250</f>
        <v>542</v>
      </c>
      <c r="K56" s="9">
        <f>259+30+250</f>
        <v>539</v>
      </c>
      <c r="L56" s="9">
        <f>80+31+250</f>
        <v>361</v>
      </c>
      <c r="M56" s="9">
        <f>280+20</f>
        <v>300</v>
      </c>
      <c r="N56" s="9">
        <f>240+34</f>
        <v>274</v>
      </c>
      <c r="O56" s="10">
        <f>120+28</f>
        <v>148</v>
      </c>
      <c r="P56" s="45">
        <f t="shared" si="5"/>
        <v>3011</v>
      </c>
      <c r="Q56" s="49">
        <v>15.99</v>
      </c>
      <c r="R56" s="11">
        <v>48145.89</v>
      </c>
      <c r="S56" s="48">
        <f t="shared" si="3"/>
        <v>48145.89</v>
      </c>
    </row>
    <row r="57" spans="2:19" ht="99.95" customHeight="1" thickBot="1">
      <c r="B57" s="43"/>
      <c r="C57" s="40" t="s">
        <v>56</v>
      </c>
      <c r="D57" s="33">
        <v>584369</v>
      </c>
      <c r="E57" s="34" t="s">
        <v>57</v>
      </c>
      <c r="F57" s="34" t="s">
        <v>53</v>
      </c>
      <c r="G57" s="35" t="s">
        <v>70</v>
      </c>
      <c r="H57" s="36">
        <v>250</v>
      </c>
      <c r="I57" s="36">
        <v>500</v>
      </c>
      <c r="J57" s="36">
        <f>520+29</f>
        <v>549</v>
      </c>
      <c r="K57" s="36">
        <f>410+38</f>
        <v>448</v>
      </c>
      <c r="L57" s="36">
        <f>320+32</f>
        <v>352</v>
      </c>
      <c r="M57" s="36">
        <f>190+36</f>
        <v>226</v>
      </c>
      <c r="N57" s="36">
        <f>105+20</f>
        <v>125</v>
      </c>
      <c r="O57" s="37">
        <v>50</v>
      </c>
      <c r="P57" s="46">
        <f t="shared" si="5"/>
        <v>2500</v>
      </c>
      <c r="Q57" s="50">
        <v>15.99</v>
      </c>
      <c r="R57" s="28">
        <v>39975</v>
      </c>
      <c r="S57" s="51">
        <f t="shared" si="3"/>
        <v>39975</v>
      </c>
    </row>
    <row r="58" spans="2:19" ht="33" customHeight="1" thickBot="1">
      <c r="B58" s="58" t="s">
        <v>76</v>
      </c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32">
        <f>SUM(P4:P57)</f>
        <v>92964</v>
      </c>
      <c r="Q58" s="29">
        <f>S58/P58</f>
        <v>22.734589303386251</v>
      </c>
      <c r="R58" s="30"/>
      <c r="S58" s="31">
        <f>SUM(S4:S57)</f>
        <v>2113498.3599999994</v>
      </c>
    </row>
    <row r="59" spans="2:19">
      <c r="Q59" s="24"/>
      <c r="R59" s="25"/>
      <c r="S59" s="24"/>
    </row>
    <row r="60" spans="2:19">
      <c r="Q60" s="24"/>
      <c r="R60" s="25"/>
      <c r="S60" s="24"/>
    </row>
    <row r="61" spans="2:19">
      <c r="Q61" s="24"/>
      <c r="R61" s="25"/>
      <c r="S61" s="24"/>
    </row>
    <row r="62" spans="2:19">
      <c r="Q62" s="24"/>
      <c r="R62" s="25"/>
      <c r="S62" s="24"/>
    </row>
    <row r="63" spans="2:19">
      <c r="Q63" s="24"/>
      <c r="R63" s="25"/>
      <c r="S63" s="24"/>
    </row>
    <row r="64" spans="2:19">
      <c r="Q64" s="24"/>
      <c r="R64" s="25"/>
      <c r="S64" s="24"/>
    </row>
    <row r="65" spans="17:19">
      <c r="Q65" s="24"/>
      <c r="R65" s="25"/>
      <c r="S65" s="24"/>
    </row>
    <row r="66" spans="17:19">
      <c r="Q66" s="24"/>
      <c r="R66" s="25"/>
      <c r="S66" s="24"/>
    </row>
    <row r="67" spans="17:19">
      <c r="Q67" s="24"/>
      <c r="R67" s="25"/>
      <c r="S67" s="24"/>
    </row>
    <row r="68" spans="17:19">
      <c r="Q68" s="24"/>
      <c r="R68" s="25"/>
      <c r="S68" s="24"/>
    </row>
    <row r="69" spans="17:19">
      <c r="Q69" s="24"/>
      <c r="R69" s="25"/>
      <c r="S69" s="24"/>
    </row>
    <row r="70" spans="17:19">
      <c r="Q70" s="24"/>
      <c r="R70" s="25"/>
      <c r="S70" s="24"/>
    </row>
    <row r="71" spans="17:19">
      <c r="Q71" s="24"/>
      <c r="R71" s="25"/>
      <c r="S71" s="24"/>
    </row>
    <row r="72" spans="17:19">
      <c r="Q72" s="24"/>
      <c r="R72" s="25"/>
      <c r="S72" s="24"/>
    </row>
    <row r="73" spans="17:19">
      <c r="Q73" s="24"/>
      <c r="R73" s="25"/>
      <c r="S73" s="24"/>
    </row>
    <row r="74" spans="17:19">
      <c r="Q74" s="24"/>
      <c r="R74" s="25"/>
      <c r="S74" s="24"/>
    </row>
    <row r="75" spans="17:19">
      <c r="Q75" s="24"/>
      <c r="R75" s="25"/>
      <c r="S75" s="24"/>
    </row>
    <row r="76" spans="17:19">
      <c r="Q76" s="24"/>
      <c r="R76" s="25"/>
      <c r="S76" s="24"/>
    </row>
    <row r="77" spans="17:19">
      <c r="Q77" s="24"/>
      <c r="R77" s="25"/>
      <c r="S77" s="24"/>
    </row>
    <row r="78" spans="17:19">
      <c r="Q78" s="24"/>
      <c r="R78" s="25"/>
      <c r="S78" s="24"/>
    </row>
    <row r="79" spans="17:19">
      <c r="Q79" s="24"/>
      <c r="R79" s="25"/>
      <c r="S79" s="24"/>
    </row>
    <row r="80" spans="17:19">
      <c r="Q80" s="24"/>
      <c r="R80" s="25"/>
      <c r="S80" s="24"/>
    </row>
    <row r="81" spans="17:19">
      <c r="Q81" s="24"/>
      <c r="R81" s="25"/>
      <c r="S81" s="24"/>
    </row>
    <row r="82" spans="17:19">
      <c r="Q82" s="24"/>
      <c r="R82" s="25"/>
      <c r="S82" s="24"/>
    </row>
    <row r="83" spans="17:19">
      <c r="Q83" s="24"/>
      <c r="R83" s="25"/>
      <c r="S83" s="24"/>
    </row>
    <row r="84" spans="17:19">
      <c r="Q84" s="24"/>
      <c r="R84" s="25"/>
      <c r="S84" s="24"/>
    </row>
    <row r="85" spans="17:19">
      <c r="Q85" s="24"/>
      <c r="R85" s="25"/>
      <c r="S85" s="24"/>
    </row>
    <row r="86" spans="17:19">
      <c r="Q86" s="24"/>
      <c r="R86" s="25"/>
      <c r="S86" s="24"/>
    </row>
    <row r="87" spans="17:19">
      <c r="Q87" s="24"/>
      <c r="R87" s="25"/>
      <c r="S87" s="24"/>
    </row>
    <row r="88" spans="17:19">
      <c r="Q88" s="24"/>
      <c r="R88" s="25"/>
      <c r="S88" s="24"/>
    </row>
    <row r="89" spans="17:19">
      <c r="Q89" s="24"/>
      <c r="R89" s="25"/>
      <c r="S89" s="24"/>
    </row>
    <row r="90" spans="17:19">
      <c r="Q90" s="24"/>
      <c r="R90" s="25"/>
      <c r="S90" s="24"/>
    </row>
    <row r="91" spans="17:19">
      <c r="Q91" s="24"/>
      <c r="R91" s="25"/>
      <c r="S91" s="24"/>
    </row>
    <row r="92" spans="17:19">
      <c r="Q92" s="24"/>
      <c r="R92" s="25"/>
      <c r="S92" s="24"/>
    </row>
    <row r="93" spans="17:19">
      <c r="Q93" s="24"/>
      <c r="R93" s="25"/>
      <c r="S93" s="24"/>
    </row>
    <row r="94" spans="17:19">
      <c r="Q94" s="24"/>
      <c r="R94" s="25"/>
      <c r="S94" s="24"/>
    </row>
    <row r="95" spans="17:19">
      <c r="Q95" s="24"/>
      <c r="R95" s="25"/>
      <c r="S95" s="24"/>
    </row>
    <row r="96" spans="17:19">
      <c r="Q96" s="24"/>
      <c r="R96" s="25"/>
      <c r="S96" s="24"/>
    </row>
    <row r="97" spans="17:19">
      <c r="Q97" s="24"/>
      <c r="R97" s="25"/>
      <c r="S97" s="24"/>
    </row>
    <row r="98" spans="17:19">
      <c r="Q98" s="24"/>
      <c r="R98" s="25"/>
      <c r="S98" s="24"/>
    </row>
    <row r="99" spans="17:19">
      <c r="Q99" s="24"/>
      <c r="R99" s="25"/>
      <c r="S99" s="24"/>
    </row>
    <row r="100" spans="17:19">
      <c r="Q100" s="24"/>
      <c r="R100" s="25"/>
      <c r="S100" s="24"/>
    </row>
    <row r="101" spans="17:19">
      <c r="Q101" s="24"/>
      <c r="R101" s="25"/>
      <c r="S101" s="24"/>
    </row>
    <row r="102" spans="17:19">
      <c r="Q102" s="24"/>
      <c r="R102" s="25"/>
      <c r="S102" s="24"/>
    </row>
    <row r="103" spans="17:19">
      <c r="Q103" s="24"/>
      <c r="R103" s="25"/>
      <c r="S103" s="24"/>
    </row>
    <row r="104" spans="17:19">
      <c r="Q104" s="24"/>
      <c r="R104" s="25"/>
      <c r="S104" s="24"/>
    </row>
    <row r="105" spans="17:19">
      <c r="Q105" s="24"/>
      <c r="R105" s="25"/>
      <c r="S105" s="24"/>
    </row>
    <row r="106" spans="17:19">
      <c r="Q106" s="24"/>
      <c r="R106" s="25"/>
      <c r="S106" s="24"/>
    </row>
    <row r="107" spans="17:19">
      <c r="Q107" s="24"/>
      <c r="R107" s="25"/>
      <c r="S107" s="24"/>
    </row>
    <row r="108" spans="17:19">
      <c r="Q108" s="24"/>
      <c r="R108" s="25"/>
      <c r="S108" s="24"/>
    </row>
    <row r="109" spans="17:19">
      <c r="Q109" s="24"/>
      <c r="R109" s="25"/>
      <c r="S109" s="24"/>
    </row>
    <row r="110" spans="17:19">
      <c r="Q110" s="24"/>
      <c r="R110" s="25"/>
      <c r="S110" s="24"/>
    </row>
    <row r="111" spans="17:19">
      <c r="Q111" s="24"/>
      <c r="R111" s="25"/>
      <c r="S111" s="24"/>
    </row>
    <row r="112" spans="17:19">
      <c r="Q112" s="24"/>
      <c r="R112" s="25"/>
      <c r="S112" s="24"/>
    </row>
    <row r="113" spans="17:19">
      <c r="Q113" s="24"/>
      <c r="R113" s="25"/>
      <c r="S113" s="24"/>
    </row>
    <row r="114" spans="17:19">
      <c r="Q114" s="24"/>
      <c r="R114" s="25"/>
      <c r="S114" s="24"/>
    </row>
    <row r="115" spans="17:19">
      <c r="Q115" s="24"/>
      <c r="R115" s="25"/>
      <c r="S115" s="24"/>
    </row>
    <row r="116" spans="17:19">
      <c r="Q116" s="24"/>
      <c r="R116" s="25"/>
      <c r="S116" s="24"/>
    </row>
    <row r="117" spans="17:19">
      <c r="Q117" s="24"/>
      <c r="R117" s="25"/>
      <c r="S117" s="24"/>
    </row>
    <row r="118" spans="17:19">
      <c r="Q118" s="24"/>
      <c r="R118" s="25"/>
      <c r="S118" s="24"/>
    </row>
    <row r="119" spans="17:19">
      <c r="Q119" s="24"/>
      <c r="R119" s="25"/>
      <c r="S119" s="24"/>
    </row>
    <row r="120" spans="17:19">
      <c r="Q120" s="24"/>
      <c r="R120" s="25"/>
      <c r="S120" s="24"/>
    </row>
    <row r="121" spans="17:19">
      <c r="Q121" s="24"/>
      <c r="R121" s="25"/>
      <c r="S121" s="24"/>
    </row>
    <row r="122" spans="17:19">
      <c r="Q122" s="24"/>
      <c r="R122" s="25"/>
      <c r="S122" s="24"/>
    </row>
    <row r="123" spans="17:19">
      <c r="Q123" s="24"/>
      <c r="R123" s="25"/>
      <c r="S123" s="24"/>
    </row>
    <row r="124" spans="17:19">
      <c r="Q124" s="24"/>
      <c r="R124" s="25"/>
      <c r="S124" s="24"/>
    </row>
    <row r="125" spans="17:19">
      <c r="Q125" s="24"/>
      <c r="R125" s="25"/>
      <c r="S125" s="24"/>
    </row>
    <row r="126" spans="17:19">
      <c r="Q126" s="24"/>
      <c r="R126" s="25"/>
      <c r="S126" s="24"/>
    </row>
    <row r="127" spans="17:19">
      <c r="Q127" s="24"/>
      <c r="R127" s="25"/>
      <c r="S127" s="24"/>
    </row>
    <row r="128" spans="17:19">
      <c r="Q128" s="24"/>
      <c r="R128" s="25"/>
      <c r="S128" s="24"/>
    </row>
    <row r="129" spans="17:19">
      <c r="Q129" s="24"/>
      <c r="R129" s="25"/>
      <c r="S129" s="24"/>
    </row>
    <row r="130" spans="17:19">
      <c r="Q130" s="24"/>
      <c r="R130" s="25"/>
      <c r="S130" s="24"/>
    </row>
    <row r="131" spans="17:19">
      <c r="Q131" s="24"/>
      <c r="R131" s="25"/>
      <c r="S131" s="24"/>
    </row>
    <row r="132" spans="17:19">
      <c r="Q132" s="24"/>
      <c r="R132" s="25"/>
      <c r="S132" s="24"/>
    </row>
    <row r="133" spans="17:19">
      <c r="Q133" s="24"/>
      <c r="R133" s="25"/>
      <c r="S133" s="24"/>
    </row>
    <row r="134" spans="17:19">
      <c r="Q134" s="24"/>
      <c r="R134" s="25"/>
      <c r="S134" s="24"/>
    </row>
    <row r="135" spans="17:19">
      <c r="Q135" s="24"/>
      <c r="R135" s="25"/>
      <c r="S135" s="24"/>
    </row>
    <row r="136" spans="17:19">
      <c r="Q136" s="24"/>
      <c r="R136" s="25"/>
      <c r="S136" s="24"/>
    </row>
    <row r="137" spans="17:19">
      <c r="Q137" s="24"/>
      <c r="R137" s="25"/>
      <c r="S137" s="24"/>
    </row>
    <row r="138" spans="17:19">
      <c r="Q138" s="24"/>
      <c r="R138" s="25"/>
      <c r="S138" s="24"/>
    </row>
    <row r="139" spans="17:19">
      <c r="Q139" s="24"/>
      <c r="R139" s="25"/>
      <c r="S139" s="24"/>
    </row>
    <row r="140" spans="17:19">
      <c r="Q140" s="24"/>
      <c r="R140" s="25"/>
      <c r="S140" s="24"/>
    </row>
    <row r="141" spans="17:19">
      <c r="Q141" s="24"/>
      <c r="R141" s="25"/>
      <c r="S141" s="24"/>
    </row>
    <row r="142" spans="17:19">
      <c r="Q142" s="24"/>
      <c r="R142" s="25"/>
      <c r="S142" s="24"/>
    </row>
    <row r="143" spans="17:19">
      <c r="Q143" s="24"/>
      <c r="R143" s="25"/>
      <c r="S143" s="24"/>
    </row>
    <row r="144" spans="17:19">
      <c r="Q144" s="24"/>
      <c r="R144" s="25"/>
      <c r="S144" s="24"/>
    </row>
    <row r="145" spans="17:19">
      <c r="Q145" s="24"/>
      <c r="R145" s="25"/>
      <c r="S145" s="24"/>
    </row>
    <row r="146" spans="17:19">
      <c r="Q146" s="24"/>
      <c r="R146" s="25"/>
      <c r="S146" s="24"/>
    </row>
    <row r="147" spans="17:19">
      <c r="Q147" s="24"/>
      <c r="R147" s="25"/>
      <c r="S147" s="24"/>
    </row>
    <row r="148" spans="17:19">
      <c r="Q148" s="24"/>
      <c r="R148" s="25"/>
      <c r="S148" s="24"/>
    </row>
    <row r="149" spans="17:19">
      <c r="Q149" s="24"/>
      <c r="R149" s="25"/>
      <c r="S149" s="24"/>
    </row>
    <row r="150" spans="17:19">
      <c r="Q150" s="24"/>
      <c r="R150" s="25"/>
      <c r="S150" s="24"/>
    </row>
    <row r="151" spans="17:19">
      <c r="Q151" s="24"/>
      <c r="R151" s="25"/>
      <c r="S151" s="24"/>
    </row>
    <row r="152" spans="17:19">
      <c r="Q152" s="24"/>
      <c r="R152" s="25"/>
      <c r="S152" s="24"/>
    </row>
    <row r="153" spans="17:19">
      <c r="Q153" s="24"/>
      <c r="R153" s="25"/>
      <c r="S153" s="24"/>
    </row>
    <row r="154" spans="17:19">
      <c r="Q154" s="24"/>
      <c r="R154" s="25"/>
      <c r="S154" s="24"/>
    </row>
    <row r="155" spans="17:19">
      <c r="Q155" s="24"/>
      <c r="R155" s="25"/>
      <c r="S155" s="24"/>
    </row>
    <row r="156" spans="17:19">
      <c r="Q156" s="24"/>
      <c r="R156" s="25"/>
      <c r="S156" s="24"/>
    </row>
    <row r="157" spans="17:19">
      <c r="Q157" s="24"/>
      <c r="R157" s="25"/>
      <c r="S157" s="24"/>
    </row>
    <row r="158" spans="17:19">
      <c r="Q158" s="24"/>
      <c r="R158" s="25"/>
      <c r="S158" s="24"/>
    </row>
    <row r="159" spans="17:19">
      <c r="Q159" s="24"/>
      <c r="R159" s="25"/>
      <c r="S159" s="24"/>
    </row>
    <row r="160" spans="17:19">
      <c r="Q160" s="24"/>
      <c r="R160" s="25"/>
      <c r="S160" s="24"/>
    </row>
    <row r="161" spans="17:19">
      <c r="Q161" s="24"/>
      <c r="R161" s="25"/>
      <c r="S161" s="24"/>
    </row>
    <row r="162" spans="17:19">
      <c r="Q162" s="24"/>
      <c r="R162" s="25"/>
      <c r="S162" s="24"/>
    </row>
    <row r="163" spans="17:19">
      <c r="Q163" s="24"/>
      <c r="R163" s="25"/>
      <c r="S163" s="24"/>
    </row>
    <row r="164" spans="17:19">
      <c r="Q164" s="24"/>
      <c r="R164" s="25"/>
      <c r="S164" s="24"/>
    </row>
    <row r="165" spans="17:19">
      <c r="Q165" s="24"/>
      <c r="R165" s="25"/>
      <c r="S165" s="24"/>
    </row>
    <row r="166" spans="17:19">
      <c r="Q166" s="24"/>
      <c r="R166" s="25"/>
      <c r="S166" s="24"/>
    </row>
    <row r="167" spans="17:19">
      <c r="Q167" s="24"/>
      <c r="R167" s="25"/>
      <c r="S167" s="24"/>
    </row>
    <row r="168" spans="17:19">
      <c r="Q168" s="24"/>
      <c r="R168" s="25"/>
      <c r="S168" s="24"/>
    </row>
    <row r="169" spans="17:19">
      <c r="Q169" s="24"/>
      <c r="R169" s="25"/>
      <c r="S169" s="24"/>
    </row>
    <row r="170" spans="17:19">
      <c r="Q170" s="24"/>
      <c r="R170" s="25"/>
      <c r="S170" s="24"/>
    </row>
    <row r="171" spans="17:19">
      <c r="Q171" s="24"/>
      <c r="R171" s="25"/>
      <c r="S171" s="24"/>
    </row>
    <row r="172" spans="17:19">
      <c r="Q172" s="24"/>
      <c r="R172" s="25"/>
      <c r="S172" s="24"/>
    </row>
    <row r="173" spans="17:19">
      <c r="Q173" s="24"/>
      <c r="R173" s="25"/>
      <c r="S173" s="24"/>
    </row>
    <row r="174" spans="17:19">
      <c r="Q174" s="24"/>
      <c r="R174" s="25"/>
      <c r="S174" s="24"/>
    </row>
    <row r="175" spans="17:19">
      <c r="Q175" s="24"/>
      <c r="R175" s="25"/>
      <c r="S175" s="24"/>
    </row>
    <row r="176" spans="17:19">
      <c r="Q176" s="24"/>
      <c r="R176" s="25"/>
      <c r="S176" s="24"/>
    </row>
    <row r="177" spans="17:19">
      <c r="Q177" s="24"/>
      <c r="R177" s="25"/>
      <c r="S177" s="24"/>
    </row>
    <row r="178" spans="17:19">
      <c r="Q178" s="24"/>
      <c r="R178" s="25"/>
      <c r="S178" s="24"/>
    </row>
    <row r="179" spans="17:19">
      <c r="Q179" s="24"/>
      <c r="R179" s="25"/>
      <c r="S179" s="24"/>
    </row>
    <row r="180" spans="17:19">
      <c r="Q180" s="24"/>
      <c r="R180" s="25"/>
      <c r="S180" s="24"/>
    </row>
    <row r="181" spans="17:19">
      <c r="Q181" s="24"/>
      <c r="R181" s="25"/>
      <c r="S181" s="24"/>
    </row>
    <row r="182" spans="17:19">
      <c r="Q182" s="24"/>
      <c r="R182" s="25"/>
      <c r="S182" s="24"/>
    </row>
    <row r="183" spans="17:19">
      <c r="Q183" s="24"/>
      <c r="R183" s="25"/>
      <c r="S183" s="24"/>
    </row>
    <row r="184" spans="17:19">
      <c r="Q184" s="24"/>
      <c r="R184" s="25"/>
      <c r="S184" s="24"/>
    </row>
    <row r="185" spans="17:19">
      <c r="Q185" s="24"/>
      <c r="R185" s="25"/>
      <c r="S185" s="24"/>
    </row>
    <row r="186" spans="17:19">
      <c r="Q186" s="24"/>
      <c r="R186" s="25"/>
      <c r="S186" s="24"/>
    </row>
    <row r="187" spans="17:19">
      <c r="Q187" s="24"/>
      <c r="R187" s="25"/>
      <c r="S187" s="24"/>
    </row>
    <row r="188" spans="17:19">
      <c r="Q188" s="24"/>
      <c r="R188" s="25"/>
      <c r="S188" s="24"/>
    </row>
    <row r="189" spans="17:19">
      <c r="Q189" s="24"/>
      <c r="R189" s="25"/>
      <c r="S189" s="24"/>
    </row>
    <row r="190" spans="17:19">
      <c r="Q190" s="24"/>
      <c r="R190" s="25"/>
      <c r="S190" s="24"/>
    </row>
    <row r="191" spans="17:19">
      <c r="Q191" s="24"/>
      <c r="R191" s="25"/>
      <c r="S191" s="24"/>
    </row>
    <row r="192" spans="17:19">
      <c r="Q192" s="24"/>
      <c r="R192" s="25"/>
      <c r="S192" s="24"/>
    </row>
    <row r="193" spans="17:19">
      <c r="Q193" s="24"/>
      <c r="R193" s="25"/>
      <c r="S193" s="24"/>
    </row>
    <row r="194" spans="17:19">
      <c r="Q194" s="24"/>
      <c r="R194" s="25"/>
      <c r="S194" s="24"/>
    </row>
    <row r="195" spans="17:19">
      <c r="Q195" s="24"/>
      <c r="R195" s="25"/>
      <c r="S195" s="24"/>
    </row>
    <row r="196" spans="17:19">
      <c r="Q196" s="24"/>
      <c r="R196" s="25"/>
      <c r="S196" s="24"/>
    </row>
    <row r="197" spans="17:19">
      <c r="Q197" s="24"/>
      <c r="R197" s="25"/>
      <c r="S197" s="24"/>
    </row>
    <row r="198" spans="17:19">
      <c r="Q198" s="24"/>
      <c r="R198" s="25"/>
      <c r="S198" s="24"/>
    </row>
    <row r="199" spans="17:19">
      <c r="Q199" s="24"/>
      <c r="R199" s="25"/>
      <c r="S199" s="24"/>
    </row>
    <row r="200" spans="17:19">
      <c r="Q200" s="24"/>
      <c r="R200" s="25"/>
      <c r="S200" s="24"/>
    </row>
    <row r="201" spans="17:19">
      <c r="Q201" s="24"/>
      <c r="R201" s="25"/>
      <c r="S201" s="24"/>
    </row>
    <row r="202" spans="17:19">
      <c r="Q202" s="24"/>
      <c r="R202" s="25"/>
      <c r="S202" s="24"/>
    </row>
    <row r="203" spans="17:19">
      <c r="Q203" s="24"/>
      <c r="R203" s="25"/>
      <c r="S203" s="24"/>
    </row>
    <row r="204" spans="17:19">
      <c r="Q204" s="24"/>
      <c r="R204" s="25"/>
      <c r="S204" s="24"/>
    </row>
    <row r="205" spans="17:19">
      <c r="Q205" s="24"/>
      <c r="R205" s="25"/>
      <c r="S205" s="24"/>
    </row>
    <row r="206" spans="17:19">
      <c r="Q206" s="24"/>
      <c r="R206" s="25"/>
      <c r="S206" s="24"/>
    </row>
    <row r="207" spans="17:19">
      <c r="Q207" s="24"/>
      <c r="R207" s="25"/>
      <c r="S207" s="24"/>
    </row>
    <row r="208" spans="17:19">
      <c r="Q208" s="24"/>
      <c r="R208" s="25"/>
      <c r="S208" s="24"/>
    </row>
    <row r="209" spans="17:19">
      <c r="Q209" s="24"/>
      <c r="R209" s="25"/>
      <c r="S209" s="24"/>
    </row>
    <row r="210" spans="17:19">
      <c r="Q210" s="24"/>
      <c r="R210" s="25"/>
      <c r="S210" s="24"/>
    </row>
    <row r="211" spans="17:19">
      <c r="Q211" s="24"/>
      <c r="R211" s="25"/>
      <c r="S211" s="24"/>
    </row>
    <row r="212" spans="17:19">
      <c r="Q212" s="24"/>
      <c r="R212" s="25"/>
      <c r="S212" s="24"/>
    </row>
    <row r="213" spans="17:19">
      <c r="Q213" s="24"/>
      <c r="R213" s="25"/>
      <c r="S213" s="24"/>
    </row>
    <row r="214" spans="17:19">
      <c r="Q214" s="24"/>
      <c r="R214" s="25"/>
      <c r="S214" s="24"/>
    </row>
  </sheetData>
  <mergeCells count="15">
    <mergeCell ref="P2:P3"/>
    <mergeCell ref="Q2:Q3"/>
    <mergeCell ref="S2:S3"/>
    <mergeCell ref="B58:O58"/>
    <mergeCell ref="B1:S1"/>
    <mergeCell ref="C2:C3"/>
    <mergeCell ref="D2:D3"/>
    <mergeCell ref="E2:E3"/>
    <mergeCell ref="F2:F3"/>
    <mergeCell ref="B2:B3"/>
    <mergeCell ref="B12:B15"/>
    <mergeCell ref="C12:C15"/>
    <mergeCell ref="D12:D13"/>
    <mergeCell ref="D14:D15"/>
    <mergeCell ref="B31:B34"/>
  </mergeCells>
  <phoneticPr fontId="1" type="noConversion"/>
  <pageMargins left="0.19685039370078741" right="0.19685039370078741" top="0.39370078740157483" bottom="0.39370078740157483" header="0" footer="0"/>
  <pageSetup paperSize="9" scale="51" fitToHeight="1000" orientation="landscape" r:id="rId1"/>
  <headerFooter scaleWithDoc="0" alignWithMargins="0">
    <oddHeader>&amp;A</oddHeader>
    <oddFooter>Page &amp;P de &amp;N</oddFooter>
  </headerFooter>
  <ignoredErrors>
    <ignoredError sqref="J12 J5 J7:K7 I6 J8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cd75ed5-560e-4ca0-9b0a-be9f88e1ea2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70EB1F48882741AC040E2AF64C857A" ma:contentTypeVersion="10" ma:contentTypeDescription="Crée un document." ma:contentTypeScope="" ma:versionID="03abff975afc138e4e976601e0ea8ab7">
  <xsd:schema xmlns:xsd="http://www.w3.org/2001/XMLSchema" xmlns:xs="http://www.w3.org/2001/XMLSchema" xmlns:p="http://schemas.microsoft.com/office/2006/metadata/properties" xmlns:ns3="8cd75ed5-560e-4ca0-9b0a-be9f88e1ea25" targetNamespace="http://schemas.microsoft.com/office/2006/metadata/properties" ma:root="true" ma:fieldsID="3648760d3bdd6a877f23155b89633108" ns3:_="">
    <xsd:import namespace="8cd75ed5-560e-4ca0-9b0a-be9f88e1ea25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d75ed5-560e-4ca0-9b0a-be9f88e1ea25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D03331-BC1E-40AC-BF90-7077E321A46A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8cd75ed5-560e-4ca0-9b0a-be9f88e1ea25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FF5241F-64B5-4174-921C-082AAEEA222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5D2B47-752A-4480-B532-34C37561E0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d75ed5-560e-4ca0-9b0a-be9f88e1ea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JENNYFER </vt:lpstr>
      <vt:lpstr>'JENNYFER 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2025-09-15T15:53:25Z</cp:lastPrinted>
  <dcterms:created xsi:type="dcterms:W3CDTF">2025-05-02T08:54:00Z</dcterms:created>
  <dcterms:modified xsi:type="dcterms:W3CDTF">2025-09-16T10:12:49Z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D24083B089D576F7BDF8226835985E21_43</vt:lpwstr>
  </property>
  <property fmtid="{D5CDD505-2E9C-101B-9397-08002B2CF9AE}" pid="3" name="KSOProductBuildVer">
    <vt:lpwstr>2052-12.1.0.21171</vt:lpwstr>
  </property>
  <property fmtid="{D5CDD505-2E9C-101B-9397-08002B2CF9AE}" pid="4" name="ContentTypeId">
    <vt:lpwstr>0x0101009370EB1F48882741AC040E2AF64C857A</vt:lpwstr>
  </property>
</Properties>
</file>